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липень" sheetId="1" r:id="rId1"/>
    <sheet name="червень" sheetId="2" r:id="rId2"/>
    <sheet name="травень" sheetId="3" r:id="rId3"/>
    <sheet name="квітень" sheetId="4" r:id="rId4"/>
    <sheet name="березень" sheetId="5" r:id="rId5"/>
    <sheet name="лютий" sheetId="6" r:id="rId6"/>
    <sheet name="січень 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<sst xmlns="http://schemas.openxmlformats.org/spreadsheetml/2006/main" count="1423" uniqueCount="258">
  <si>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</si>
  <si>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</si>
  <si>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</si>
  <si>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</si>
  <si>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</si>
  <si>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</si>
  <si>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</si>
  <si>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</si>
  <si>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</si>
  <si>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</si>
  <si>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</si>
  <si>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</si>
  <si>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</si>
  <si>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</si>
  <si>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</si>
  <si>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</si>
  <si>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</si>
  <si>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</si>
  <si>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</si>
  <si>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</si>
  <si>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</si>
  <si>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</si>
  <si>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</si>
  <si>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</si>
  <si>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</si>
  <si>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</si>
  <si>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</si>
  <si>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</si>
  <si>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</si>
  <si>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</si>
  <si>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</si>
  <si>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</si>
  <si>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</si>
  <si>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</si>
  <si>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</si>
  <si>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</si>
  <si>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</si>
  <si>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</si>
  <si>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</si>
  <si>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</si>
  <si>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</si>
  <si>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</si>
  <si>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</si>
  <si>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</si>
  <si>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</si>
  <si>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</si>
  <si>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</si>
  <si>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</si>
  <si>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</si>
  <si>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</si>
  <si>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</si>
  <si>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</si>
  <si>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</si>
  <si>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</si>
  <si>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</si>
  <si>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</si>
  <si>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</si>
  <si>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</si>
  <si>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</si>
  <si>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</si>
  <si>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</si>
  <si>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</si>
  <si>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</si>
  <si>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</si>
  <si>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</si>
  <si>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</si>
  <si>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</si>
  <si>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</si>
  <si>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</si>
  <si>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</si>
  <si>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</si>
  <si>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</si>
  <si>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</si>
  <si>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</si>
  <si>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</si>
  <si>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</si>
  <si>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</si>
  <si>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</si>
  <si>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</si>
  <si>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</si>
  <si>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</si>
  <si>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</si>
  <si>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</si>
  <si>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</si>
  <si>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</si>
  <si>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</si>
  <si>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</si>
  <si>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</si>
  <si>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</si>
  <si>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</si>
  <si>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</si>
  <si>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</si>
  <si>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</si>
  <si>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</si>
  <si>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</si>
  <si>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</si>
  <si>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</si>
  <si>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</si>
  <si>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</si>
  <si>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</si>
  <si>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</si>
  <si>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</si>
  <si>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</si>
  <si>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</si>
  <si>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</si>
  <si>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</si>
  <si>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</si>
  <si>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</si>
  <si>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</si>
  <si>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</si>
  <si>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</si>
  <si>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</si>
  <si>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</si>
  <si>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</si>
  <si>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</si>
  <si>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</si>
  <si>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</si>
  <si>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</si>
  <si>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</si>
  <si>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</si>
  <si>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</si>
  <si>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</si>
  <si>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</si>
  <si>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</si>
  <si>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</si>
  <si>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</si>
  <si>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</si>
  <si>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</si>
  <si>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</si>
  <si>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</si>
  <si>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</si>
  <si>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</si>
  <si>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</si>
  <si>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</si>
  <si>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</si>
  <si>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</si>
  <si>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</si>
  <si>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</si>
  <si>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</si>
  <si>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</si>
  <si>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</si>
  <si>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</si>
  <si>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</si>
  <si>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</si>
  <si>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</si>
  <si>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</si>
  <si>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</si>
  <si>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</si>
  <si>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</si>
  <si>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</si>
  <si>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</si>
  <si>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</si>
  <si>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</si>
  <si>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</si>
  <si>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</si>
  <si>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</si>
  <si>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</si>
  <si>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</si>
  <si>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</si>
  <si>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</si>
  <si>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</si>
  <si>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</si>
  <si>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</si>
  <si>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</si>
  <si>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</si>
  <si>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</si>
  <si>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</si>
  <si>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</si>
  <si>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</si>
  <si>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</si>
  <si>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</si>
  <si>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</si>
  <si>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</si>
  <si>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</si>
  <si>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</si>
  <si>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</si>
  <si>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</si>
  <si>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</si>
  <si>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</si>
  <si>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</si>
  <si>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</si>
  <si>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</si>
  <si>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</si>
  <si>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</si>
  <si>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</si>
  <si>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</si>
  <si>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</si>
  <si>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</si>
  <si>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</si>
  <si>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</si>
  <si>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</si>
  <si>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</si>
  <si>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</si>
  <si>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</si>
  <si>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</si>
  <si>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</si>
  <si>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</si>
  <si>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</si>
  <si>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</si>
  <si>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</si>
  <si>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</si>
  <si>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</si>
  <si>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</si>
  <si>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</si>
  <si>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</si>
  <si>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</si>
  <si>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</si>
  <si>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</si>
  <si>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</si>
  <si>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</si>
  <si>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</si>
  <si>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</si>
  <si>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</si>
  <si>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</si>
  <si>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</si>
  <si>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</si>
  <si>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</si>
  <si>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</si>
  <si>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</si>
  <si>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</si>
  <si>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</si>
  <si>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</si>
  <si>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</si>
  <si>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</si>
  <si>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</si>
  <si>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</si>
  <si>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</si>
  <si>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</si>
  <si>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січень-травень</t>
  </si>
  <si>
    <t>Відхилення до плану на січень-травень</t>
  </si>
  <si>
    <t>% виконання до плану на січень-травень</t>
  </si>
  <si>
    <t>Динаміка  фактичних надходжень січень-травень 2013 та 2014 років</t>
  </si>
  <si>
    <t>на травень  місяць</t>
  </si>
  <si>
    <t>Виконано у травні</t>
  </si>
  <si>
    <t>Динаміка  фактичних надходжень травень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</si>
  <si>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</si>
  <si>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30.05.14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</si>
  <si>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січень-червень</t>
  </si>
  <si>
    <t>Відхилення до плану на січень-червень</t>
  </si>
  <si>
    <t>% виконання до плану на січень-червень</t>
  </si>
  <si>
    <t>Динаміка  фактичних надходжень січень-червень 2013 та 2014 років</t>
  </si>
  <si>
    <t>на червень  місяць</t>
  </si>
  <si>
    <t>Динаміка  фактичних надходжень червень 2013 та 2014 років</t>
  </si>
  <si>
    <t>Виконано у червні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</si>
  <si>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(січень-квітень)</t>
    </r>
  </si>
  <si>
    <r>
      <t>Отримано середньострокових позик</t>
    </r>
    <r>
      <rPr>
        <sz val="14"/>
        <rFont val="Times New Roman"/>
        <family val="1"/>
      </rPr>
      <t xml:space="preserve"> (січень-травень)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</si>
  <si>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</si>
  <si>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27.06.14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</si>
  <si>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січень-липень</t>
  </si>
  <si>
    <t>Відхилення до плану на січень-липень</t>
  </si>
  <si>
    <t>% виконання до плану на січень-липень</t>
  </si>
  <si>
    <t>на липень  місяць</t>
  </si>
  <si>
    <t>Виконано у липні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</si>
  <si>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(січень-червень)</t>
    </r>
  </si>
  <si>
    <t>Динаміка  фактичних надходжень січень-липень 2013 та 2014 років</t>
  </si>
  <si>
    <t>Динаміка  фактичних надходжень липень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</si>
  <si>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30.07.2014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</si>
  <si>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29.07.14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</si>
</sst>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74" fontId="20" fillId="5" borderId="1" xfId="0" applyNumberFormat="1" applyFont="1" applyFill="1" applyBorder="1" applyAlignment="1" applyProtection="1">
      <alignment/>
      <protection/>
    </xf>
    <xf numFmtId="183" fontId="20" fillId="5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9" fontId="7" fillId="0" borderId="7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7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8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9" xfId="22" applyFont="1" applyFill="1" applyBorder="1" applyAlignment="1" applyProtection="1">
      <alignment horizontal="center" vertic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174" fontId="4" fillId="0" borderId="9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7" xfId="22" applyNumberFormat="1" applyFont="1" applyFill="1" applyBorder="1" applyAlignment="1" applyProtection="1">
      <alignment horizontal="center" wrapText="1"/>
      <protection/>
    </xf>
    <xf numFmtId="0" fontId="4" fillId="0" borderId="9" xfId="20" applyFont="1" applyFill="1" applyBorder="1" applyAlignment="1" applyProtection="1">
      <alignment horizontal="center" vertical="center" wrapText="1"/>
      <protection/>
    </xf>
    <xf numFmtId="0" fontId="4" fillId="0" borderId="7" xfId="20" applyFont="1" applyFill="1" applyBorder="1" applyAlignment="1" applyProtection="1">
      <alignment horizontal="center" vertical="center" wrapText="1"/>
      <protection/>
    </xf>
    <xf numFmtId="9" fontId="4" fillId="0" borderId="9" xfId="22" applyFont="1" applyFill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29" fillId="0" borderId="13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7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9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-07"/>
      <sheetName val="депозит"/>
      <sheetName val="залишки  (2)"/>
      <sheetName val="надх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очік на кредит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  <sheetName val="серпень"/>
    </sheetNames>
    <sheetDataSet>
      <sheetData sheetId="12">
        <row r="8">
          <cell r="G8">
            <v>0</v>
          </cell>
        </row>
        <row r="9">
          <cell r="G9">
            <v>13825221.96</v>
          </cell>
        </row>
      </sheetData>
      <sheetData sheetId="13">
        <row r="52">
          <cell r="B52">
            <v>23080776.02999999</v>
          </cell>
        </row>
      </sheetData>
      <sheetData sheetId="18">
        <row r="28">
          <cell r="C28">
            <v>4870376.3</v>
          </cell>
        </row>
      </sheetData>
      <sheetData sheetId="19">
        <row r="28">
          <cell r="C28">
            <v>3219411</v>
          </cell>
        </row>
      </sheetData>
      <sheetData sheetId="20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8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48" sqref="F14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69" t="s">
        <v>256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26"/>
      <c r="R1" s="127"/>
    </row>
    <row r="2" spans="2:18" s="1" customFormat="1" ht="15.75" customHeight="1">
      <c r="B2" s="170"/>
      <c r="C2" s="170"/>
      <c r="D2" s="17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1"/>
      <c r="B3" s="173"/>
      <c r="C3" s="174" t="s">
        <v>0</v>
      </c>
      <c r="D3" s="175" t="s">
        <v>224</v>
      </c>
      <c r="E3" s="175"/>
      <c r="F3" s="176" t="s">
        <v>107</v>
      </c>
      <c r="G3" s="177"/>
      <c r="H3" s="177"/>
      <c r="I3" s="177"/>
      <c r="J3" s="177"/>
      <c r="K3" s="177"/>
      <c r="L3" s="178"/>
      <c r="M3" s="179" t="s">
        <v>225</v>
      </c>
      <c r="N3" s="168" t="s">
        <v>252</v>
      </c>
      <c r="O3" s="168"/>
      <c r="P3" s="168"/>
      <c r="Q3" s="168"/>
      <c r="R3" s="168"/>
    </row>
    <row r="4" spans="1:18" ht="22.5" customHeight="1">
      <c r="A4" s="171"/>
      <c r="B4" s="173"/>
      <c r="C4" s="174"/>
      <c r="D4" s="175"/>
      <c r="E4" s="175"/>
      <c r="F4" s="180" t="s">
        <v>116</v>
      </c>
      <c r="G4" s="182" t="s">
        <v>249</v>
      </c>
      <c r="H4" s="184" t="s">
        <v>250</v>
      </c>
      <c r="I4" s="186" t="s">
        <v>188</v>
      </c>
      <c r="J4" s="188" t="s">
        <v>189</v>
      </c>
      <c r="K4" s="190" t="s">
        <v>254</v>
      </c>
      <c r="L4" s="191"/>
      <c r="M4" s="167"/>
      <c r="N4" s="198" t="s">
        <v>257</v>
      </c>
      <c r="O4" s="186" t="s">
        <v>136</v>
      </c>
      <c r="P4" s="186" t="s">
        <v>135</v>
      </c>
      <c r="Q4" s="190" t="s">
        <v>255</v>
      </c>
      <c r="R4" s="191"/>
    </row>
    <row r="5" spans="1:18" ht="82.5" customHeight="1">
      <c r="A5" s="172"/>
      <c r="B5" s="173"/>
      <c r="C5" s="174"/>
      <c r="D5" s="150" t="s">
        <v>209</v>
      </c>
      <c r="E5" s="158" t="s">
        <v>248</v>
      </c>
      <c r="F5" s="181"/>
      <c r="G5" s="183"/>
      <c r="H5" s="185"/>
      <c r="I5" s="187"/>
      <c r="J5" s="189"/>
      <c r="K5" s="192"/>
      <c r="L5" s="193"/>
      <c r="M5" s="151" t="s">
        <v>251</v>
      </c>
      <c r="N5" s="199"/>
      <c r="O5" s="187"/>
      <c r="P5" s="187"/>
      <c r="Q5" s="192"/>
      <c r="R5" s="193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271234.70999999996</v>
      </c>
      <c r="F8" s="22">
        <f>F10+F19+F33+F56+F68+F30</f>
        <v>262565.63</v>
      </c>
      <c r="G8" s="22">
        <f aca="true" t="shared" si="0" ref="G8:G30">F8-E8</f>
        <v>-8669.079999999958</v>
      </c>
      <c r="H8" s="51">
        <f>F8/E8*100</f>
        <v>96.8038456435019</v>
      </c>
      <c r="I8" s="36">
        <f aca="true" t="shared" si="1" ref="I8:I17">F8-D8</f>
        <v>-225910.66999999998</v>
      </c>
      <c r="J8" s="36">
        <f aca="true" t="shared" si="2" ref="J8:J14">F8/D8*100</f>
        <v>53.75196913340524</v>
      </c>
      <c r="K8" s="36">
        <f>F8-267884.5</f>
        <v>-5318.869999999995</v>
      </c>
      <c r="L8" s="136">
        <f>F8/267884.5</f>
        <v>0.9801449131995319</v>
      </c>
      <c r="M8" s="22">
        <f>M10+M19+M33+M56+M68+M30</f>
        <v>37968.180000000015</v>
      </c>
      <c r="N8" s="22">
        <f>N10+N19+N33+N56+N68+N30</f>
        <v>36146.61</v>
      </c>
      <c r="O8" s="36">
        <f aca="true" t="shared" si="3" ref="O8:O71">N8-M8</f>
        <v>-1821.5700000000143</v>
      </c>
      <c r="P8" s="36">
        <f>F8/M8*100</f>
        <v>691.5412590226866</v>
      </c>
      <c r="Q8" s="36">
        <f>N8-39945.7</f>
        <v>-3799.0899999999965</v>
      </c>
      <c r="R8" s="134">
        <f>N8/39945.7</f>
        <v>0.9048936431205362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212776.38</v>
      </c>
      <c r="G9" s="22">
        <f t="shared" si="0"/>
        <v>212776.38</v>
      </c>
      <c r="H9" s="20"/>
      <c r="I9" s="56">
        <f t="shared" si="1"/>
        <v>-174236.82</v>
      </c>
      <c r="J9" s="56">
        <f t="shared" si="2"/>
        <v>54.97910148801126</v>
      </c>
      <c r="K9" s="56"/>
      <c r="L9" s="135"/>
      <c r="M9" s="20">
        <f>M10+M17</f>
        <v>30824.800000000017</v>
      </c>
      <c r="N9" s="20">
        <f>N10+N17</f>
        <v>29778.25</v>
      </c>
      <c r="O9" s="36">
        <f t="shared" si="3"/>
        <v>-1046.5500000000175</v>
      </c>
      <c r="P9" s="56">
        <f>F9/M9*100</f>
        <v>690.2765954685834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221371.1</v>
      </c>
      <c r="F10" s="40">
        <v>212776.38</v>
      </c>
      <c r="G10" s="49">
        <f t="shared" si="0"/>
        <v>-8594.720000000001</v>
      </c>
      <c r="H10" s="40">
        <f aca="true" t="shared" si="4" ref="H10:H17">F10/E10*100</f>
        <v>96.11750585329341</v>
      </c>
      <c r="I10" s="56">
        <f t="shared" si="1"/>
        <v>-174236.82</v>
      </c>
      <c r="J10" s="56">
        <f t="shared" si="2"/>
        <v>54.97910148801126</v>
      </c>
      <c r="K10" s="141">
        <f>F10-211325.8</f>
        <v>1450.5800000000163</v>
      </c>
      <c r="L10" s="142">
        <f>F10/211325.8</f>
        <v>1.006864187903228</v>
      </c>
      <c r="M10" s="40">
        <f>E10-червень!E10</f>
        <v>30824.800000000017</v>
      </c>
      <c r="N10" s="40">
        <f>F10-червень!F10</f>
        <v>29778.25</v>
      </c>
      <c r="O10" s="53">
        <f t="shared" si="3"/>
        <v>-1046.5500000000175</v>
      </c>
      <c r="P10" s="56">
        <f aca="true" t="shared" si="5" ref="P10:P17">N10/M10*100</f>
        <v>96.6048441514624</v>
      </c>
      <c r="Q10" s="141">
        <f>N10-32192.1</f>
        <v>-2413.8499999999985</v>
      </c>
      <c r="R10" s="142">
        <f>N10/32192.1</f>
        <v>0.9250173179134011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E11-червень!E11</f>
        <v>0</v>
      </c>
      <c r="N11" s="40">
        <f>F11-червень!F11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E12-червень!E12</f>
        <v>0</v>
      </c>
      <c r="N12" s="40">
        <f>F12-червень!F12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E13-червень!E13</f>
        <v>0</v>
      </c>
      <c r="N13" s="40">
        <f>F13-червень!F13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E14-червень!E14</f>
        <v>0</v>
      </c>
      <c r="N14" s="40">
        <f>F14-червень!F14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E15-червень!E15</f>
        <v>0</v>
      </c>
      <c r="N15" s="40">
        <f>F15-червень!F15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E16-червень!E16</f>
        <v>0</v>
      </c>
      <c r="N16" s="40">
        <f>F16-червень!F16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E17-червень!E17</f>
        <v>0</v>
      </c>
      <c r="N17" s="40">
        <f>F17-червень!F17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E18-червень!E18</f>
        <v>0</v>
      </c>
      <c r="N18" s="40">
        <f>F18-червень!F18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1033.6</v>
      </c>
      <c r="F19" s="40">
        <v>337.1</v>
      </c>
      <c r="G19" s="49">
        <f t="shared" si="0"/>
        <v>-696.4999999999999</v>
      </c>
      <c r="H19" s="40">
        <f aca="true" t="shared" si="6" ref="H19:H29">F19/E19*100</f>
        <v>32.61416408668731</v>
      </c>
      <c r="I19" s="56">
        <f aca="true" t="shared" si="7" ref="I19:I29">F19-D19</f>
        <v>-662.9</v>
      </c>
      <c r="J19" s="56">
        <f aca="true" t="shared" si="8" ref="J19:J29">F19/D19*100</f>
        <v>33.71</v>
      </c>
      <c r="K19" s="56">
        <f>F19-6042.8</f>
        <v>-5705.7</v>
      </c>
      <c r="L19" s="135">
        <f>F19/6042.8</f>
        <v>0.05578539749784868</v>
      </c>
      <c r="M19" s="40">
        <f>E19-червень!E19</f>
        <v>10.999999999999886</v>
      </c>
      <c r="N19" s="40">
        <f>F19-червень!F19</f>
        <v>19.230000000000018</v>
      </c>
      <c r="O19" s="53">
        <f t="shared" si="3"/>
        <v>8.230000000000132</v>
      </c>
      <c r="P19" s="56">
        <f aca="true" t="shared" si="9" ref="P19:P29">N19/M19*100</f>
        <v>174.81818181818377</v>
      </c>
      <c r="Q19" s="56">
        <f>N19-422.4</f>
        <v>-403.16999999999996</v>
      </c>
      <c r="R19" s="135">
        <f>N19/422.4</f>
        <v>0.04552556818181823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E20-червень!E20</f>
        <v>0</v>
      </c>
      <c r="N20" s="40">
        <f>F20-червень!F20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E21-червень!E21</f>
        <v>0</v>
      </c>
      <c r="N21" s="40">
        <f>F21-червень!F21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E22-червень!E22</f>
        <v>0</v>
      </c>
      <c r="N22" s="40">
        <f>F22-червень!F22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E23-червень!E23</f>
        <v>0</v>
      </c>
      <c r="N23" s="40">
        <f>F23-червень!F23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E24-червень!E24</f>
        <v>0</v>
      </c>
      <c r="N24" s="40">
        <f>F24-червень!F24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E25-червень!E25</f>
        <v>0</v>
      </c>
      <c r="N25" s="40">
        <f>F25-червень!F25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E26-червень!E26</f>
        <v>0</v>
      </c>
      <c r="N26" s="40">
        <f>F26-червень!F26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E27-червень!E27</f>
        <v>0</v>
      </c>
      <c r="N27" s="40">
        <f>F27-червень!F27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E28-червень!E28</f>
        <v>0</v>
      </c>
      <c r="N28" s="40">
        <f>F28-червень!F28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733.6</v>
      </c>
      <c r="F29" s="146">
        <v>839.15</v>
      </c>
      <c r="G29" s="49">
        <f t="shared" si="0"/>
        <v>105.54999999999995</v>
      </c>
      <c r="H29" s="40">
        <f t="shared" si="6"/>
        <v>114.3879498364231</v>
      </c>
      <c r="I29" s="56">
        <f t="shared" si="7"/>
        <v>-90.85000000000002</v>
      </c>
      <c r="J29" s="56">
        <f t="shared" si="8"/>
        <v>90.23118279569893</v>
      </c>
      <c r="K29" s="148">
        <f>F29-2423.68</f>
        <v>-1584.5299999999997</v>
      </c>
      <c r="L29" s="149">
        <f>F29/2423.68</f>
        <v>0.3462297002904674</v>
      </c>
      <c r="M29" s="40">
        <f>E29-червень!E29</f>
        <v>-29</v>
      </c>
      <c r="N29" s="40">
        <f>F29-червень!F29</f>
        <v>11</v>
      </c>
      <c r="O29" s="148">
        <f t="shared" si="3"/>
        <v>40</v>
      </c>
      <c r="P29" s="145">
        <f t="shared" si="9"/>
        <v>-37.93103448275862</v>
      </c>
      <c r="Q29" s="148">
        <f>N29-422.37</f>
        <v>-411.37</v>
      </c>
      <c r="R29" s="149">
        <f>N29/422.37</f>
        <v>0.02604351634822549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18.5</v>
      </c>
      <c r="F30" s="40">
        <v>3.32</v>
      </c>
      <c r="G30" s="49">
        <f t="shared" si="0"/>
        <v>-15.18</v>
      </c>
      <c r="H30" s="40"/>
      <c r="I30" s="56"/>
      <c r="J30" s="56"/>
      <c r="K30" s="56">
        <f>F30-25.1</f>
        <v>-21.78</v>
      </c>
      <c r="L30" s="149">
        <f>F30/25.1</f>
        <v>0.13227091633466134</v>
      </c>
      <c r="M30" s="40">
        <f>E30-червень!E30</f>
        <v>0.5</v>
      </c>
      <c r="N30" s="40">
        <f>F30-червень!F30</f>
        <v>0.4099999999999997</v>
      </c>
      <c r="O30" s="53">
        <f t="shared" si="3"/>
        <v>-0.0900000000000003</v>
      </c>
      <c r="P30" s="56"/>
      <c r="Q30" s="56">
        <f>N30-0</f>
        <v>0.4099999999999997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E31-червень!E31</f>
        <v>0</v>
      </c>
      <c r="N31" s="40">
        <f>F31-червень!F31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E32-червень!E32</f>
        <v>0</v>
      </c>
      <c r="N32" s="40">
        <f>F32-червень!F32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44861.11</v>
      </c>
      <c r="F33" s="40">
        <v>45671.95</v>
      </c>
      <c r="G33" s="49">
        <f aca="true" t="shared" si="14" ref="G33:G72">F33-E33</f>
        <v>810.8399999999965</v>
      </c>
      <c r="H33" s="40">
        <f aca="true" t="shared" si="15" ref="H33:H67">F33/E33*100</f>
        <v>101.80744524600482</v>
      </c>
      <c r="I33" s="56">
        <f>F33-D33</f>
        <v>-47894.05</v>
      </c>
      <c r="J33" s="56">
        <f aca="true" t="shared" si="16" ref="J33:J72">F33/D33*100</f>
        <v>48.812549430348625</v>
      </c>
      <c r="K33" s="141">
        <f>F33-46836.9</f>
        <v>-1164.9500000000044</v>
      </c>
      <c r="L33" s="142">
        <f>F33/46836.9</f>
        <v>0.9751275169791339</v>
      </c>
      <c r="M33" s="40">
        <f>E33-червень!E33</f>
        <v>6579.879999999997</v>
      </c>
      <c r="N33" s="40">
        <f>F33-червень!F33</f>
        <v>5838.889999999999</v>
      </c>
      <c r="O33" s="53">
        <f t="shared" si="3"/>
        <v>-740.989999999998</v>
      </c>
      <c r="P33" s="56">
        <f aca="true" t="shared" si="17" ref="P33:P67">N33/M33*100</f>
        <v>88.73854842337553</v>
      </c>
      <c r="Q33" s="141">
        <f>N33-6866.9</f>
        <v>-1028.0100000000002</v>
      </c>
      <c r="R33" s="142">
        <f>N33/6866.9</f>
        <v>0.8502948928919891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E34-червень!E34</f>
        <v>0</v>
      </c>
      <c r="N34" s="40">
        <f>F34-червень!F34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E35-червень!E35</f>
        <v>0</v>
      </c>
      <c r="N35" s="40">
        <f>F35-червень!F35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E36-червень!E36</f>
        <v>0</v>
      </c>
      <c r="N36" s="40">
        <f>F36-червень!F36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E37-червень!E37</f>
        <v>0</v>
      </c>
      <c r="N37" s="40">
        <f>F37-червень!F37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E38-червень!E38</f>
        <v>0</v>
      </c>
      <c r="N38" s="40">
        <f>F38-червень!F38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E39-червень!E39</f>
        <v>0</v>
      </c>
      <c r="N39" s="40">
        <f>F39-червень!F39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E40-червень!E40</f>
        <v>0</v>
      </c>
      <c r="N40" s="40">
        <f>F40-червень!F40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E41-червень!E41</f>
        <v>0</v>
      </c>
      <c r="N41" s="40">
        <f>F41-червень!F41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E42-червень!E42</f>
        <v>0</v>
      </c>
      <c r="N42" s="40">
        <f>F42-червень!F42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E43-червень!E43</f>
        <v>0</v>
      </c>
      <c r="N43" s="40">
        <f>F43-червень!F43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E44-червень!E44</f>
        <v>0</v>
      </c>
      <c r="N44" s="40">
        <f>F44-червень!F44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E45-червень!E45</f>
        <v>0</v>
      </c>
      <c r="N45" s="40">
        <f>F45-червень!F45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E46-червень!E46</f>
        <v>0</v>
      </c>
      <c r="N46" s="40">
        <f>F46-червень!F46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E47-червень!E47</f>
        <v>0</v>
      </c>
      <c r="N47" s="40">
        <f>F47-червень!F47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E48-червень!E48</f>
        <v>0</v>
      </c>
      <c r="N48" s="40">
        <f>F48-червень!F48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E49-червень!E49</f>
        <v>0</v>
      </c>
      <c r="N49" s="40">
        <f>F49-червень!F49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E50-червень!E50</f>
        <v>0</v>
      </c>
      <c r="N50" s="40">
        <f>F50-червень!F50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E51-червень!E51</f>
        <v>0</v>
      </c>
      <c r="N51" s="40">
        <f>F51-червень!F51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E52-червень!E52</f>
        <v>0</v>
      </c>
      <c r="N52" s="40">
        <f>F52-червень!F52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E53-червень!E53</f>
        <v>0</v>
      </c>
      <c r="N53" s="40">
        <f>F53-червень!F53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E54-червень!E54</f>
        <v>0</v>
      </c>
      <c r="N54" s="40">
        <f>F54-червень!F54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33110.81</v>
      </c>
      <c r="F55" s="146">
        <v>33675.56</v>
      </c>
      <c r="G55" s="144">
        <f t="shared" si="14"/>
        <v>564.75</v>
      </c>
      <c r="H55" s="146">
        <f t="shared" si="15"/>
        <v>101.7056363163571</v>
      </c>
      <c r="I55" s="145">
        <f t="shared" si="18"/>
        <v>-36590.44</v>
      </c>
      <c r="J55" s="145">
        <f t="shared" si="16"/>
        <v>47.925824723194715</v>
      </c>
      <c r="K55" s="148">
        <f>F55-33694.14</f>
        <v>-18.580000000001746</v>
      </c>
      <c r="L55" s="149">
        <f>F55/33694.14</f>
        <v>0.999448568801578</v>
      </c>
      <c r="M55" s="40">
        <f>E55-червень!E55</f>
        <v>4779.879999999997</v>
      </c>
      <c r="N55" s="40">
        <f>F55-червень!F55</f>
        <v>3908.9699999999975</v>
      </c>
      <c r="O55" s="148">
        <f t="shared" si="3"/>
        <v>-870.9099999999999</v>
      </c>
      <c r="P55" s="148">
        <f t="shared" si="17"/>
        <v>81.77966810882282</v>
      </c>
      <c r="Q55" s="163">
        <f>N55-4878.99</f>
        <v>-970.0200000000023</v>
      </c>
      <c r="R55" s="164">
        <f>N55/4878.99</f>
        <v>0.8011842614967437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3950.3</v>
      </c>
      <c r="F56" s="40">
        <f>12.88+3762.97</f>
        <v>3775.85</v>
      </c>
      <c r="G56" s="49">
        <f t="shared" si="14"/>
        <v>-174.45000000000027</v>
      </c>
      <c r="H56" s="40">
        <f t="shared" si="15"/>
        <v>95.58387970533883</v>
      </c>
      <c r="I56" s="56">
        <f t="shared" si="18"/>
        <v>-3084.15</v>
      </c>
      <c r="J56" s="56">
        <f t="shared" si="16"/>
        <v>55.04154518950437</v>
      </c>
      <c r="K56" s="56">
        <f>F56-3653.5</f>
        <v>122.34999999999991</v>
      </c>
      <c r="L56" s="135">
        <f>F56/3653.5</f>
        <v>1.0334884357465444</v>
      </c>
      <c r="M56" s="40">
        <f>E56-червень!E56</f>
        <v>552</v>
      </c>
      <c r="N56" s="40">
        <f>F56-червень!F56</f>
        <v>509.77999999999975</v>
      </c>
      <c r="O56" s="53">
        <f t="shared" si="3"/>
        <v>-42.220000000000255</v>
      </c>
      <c r="P56" s="56">
        <f t="shared" si="17"/>
        <v>92.35144927536227</v>
      </c>
      <c r="Q56" s="56">
        <f>N56-464.2</f>
        <v>45.57999999999976</v>
      </c>
      <c r="R56" s="135">
        <f>N56/464.2</f>
        <v>1.0981904351572593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E57-червень!E57</f>
        <v>0</v>
      </c>
      <c r="N57" s="40">
        <f>F57-червень!F57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E58-червень!E58</f>
        <v>0</v>
      </c>
      <c r="N58" s="40">
        <f>F58-червень!F58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E59-червень!E59</f>
        <v>0</v>
      </c>
      <c r="N59" s="40">
        <f>F59-червень!F59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E60-червень!E60</f>
        <v>0</v>
      </c>
      <c r="N60" s="40">
        <f>F60-червень!F60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E61-червень!E61</f>
        <v>0</v>
      </c>
      <c r="N61" s="40">
        <f>F61-червень!F61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E62-червень!E62</f>
        <v>0</v>
      </c>
      <c r="N62" s="40">
        <f>F62-червень!F62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E63-червень!E63</f>
        <v>0</v>
      </c>
      <c r="N63" s="40">
        <f>F63-червень!F63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E64-червень!E64</f>
        <v>0</v>
      </c>
      <c r="N64" s="40">
        <f>F64-червень!F64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E65-червень!E65</f>
        <v>0</v>
      </c>
      <c r="N65" s="40">
        <f>F65-червень!F65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E66-червень!E66</f>
        <v>0</v>
      </c>
      <c r="N66" s="40">
        <f>F66-червень!F66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E67-червень!E67</f>
        <v>0</v>
      </c>
      <c r="N67" s="40">
        <f>F67-червень!F67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1.03</v>
      </c>
      <c r="G68" s="49">
        <f t="shared" si="14"/>
        <v>0.93</v>
      </c>
      <c r="H68" s="40"/>
      <c r="I68" s="56">
        <f t="shared" si="18"/>
        <v>0.93</v>
      </c>
      <c r="J68" s="56">
        <f t="shared" si="16"/>
        <v>1030</v>
      </c>
      <c r="K68" s="56">
        <f>F68-0.5</f>
        <v>0.53</v>
      </c>
      <c r="L68" s="135"/>
      <c r="M68" s="40">
        <f>E68-червень!E68</f>
        <v>0</v>
      </c>
      <c r="N68" s="40">
        <f>F68-червень!F68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8979</v>
      </c>
      <c r="F74" s="22">
        <f>F77+F86+F88+F89+F94+F95+F96+F97+F99+F104+F87+F103</f>
        <v>7407.87</v>
      </c>
      <c r="G74" s="50">
        <f aca="true" t="shared" si="24" ref="G74:G92">F74-E74</f>
        <v>-1571.13</v>
      </c>
      <c r="H74" s="51">
        <f aca="true" t="shared" si="25" ref="H74:H87">F74/E74*100</f>
        <v>82.5021717340461</v>
      </c>
      <c r="I74" s="36">
        <f aca="true" t="shared" si="26" ref="I74:I92">F74-D74</f>
        <v>-10950.43</v>
      </c>
      <c r="J74" s="36">
        <f aca="true" t="shared" si="27" ref="J74:J92">F74/D74*100</f>
        <v>40.351612077371</v>
      </c>
      <c r="K74" s="36">
        <f>F74-11260</f>
        <v>-3852.13</v>
      </c>
      <c r="L74" s="136">
        <f>F74/11260</f>
        <v>0.657892539964476</v>
      </c>
      <c r="M74" s="22">
        <f>M77+M86+M88+M89+M94+M95+M96+M97+M99+M87+M104</f>
        <v>1550.5</v>
      </c>
      <c r="N74" s="22">
        <f>N77+N86+N88+N89+N94+N95+N96+N97+N99+N32+N104+N87+N103</f>
        <v>1066.2900000000002</v>
      </c>
      <c r="O74" s="55">
        <f aca="true" t="shared" si="28" ref="O74:O92">N74-M74</f>
        <v>-484.2099999999998</v>
      </c>
      <c r="P74" s="36">
        <f>N74/M74*100</f>
        <v>68.7707191228636</v>
      </c>
      <c r="Q74" s="36">
        <f>N74-2110.7</f>
        <v>-1044.4099999999996</v>
      </c>
      <c r="R74" s="136">
        <f>N74/2110.7</f>
        <v>0.5051831146065288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F77-1684.2</f>
        <v>-1579.01</v>
      </c>
      <c r="L77" s="135">
        <f>F77/1684.2</f>
        <v>0.062456952855955344</v>
      </c>
      <c r="M77" s="40">
        <f>E77-червень!E77</f>
        <v>0</v>
      </c>
      <c r="N77" s="40">
        <f>F77-червень!F77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N77-14.3</f>
        <v>-14.3</v>
      </c>
      <c r="R77" s="135">
        <f>N77/14.3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E78-червень!E78</f>
        <v>0</v>
      </c>
      <c r="N78" s="40">
        <f>F78-червень!F78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E79-червень!E79</f>
        <v>0</v>
      </c>
      <c r="N79" s="40">
        <f>F79-червень!F79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E80-червень!E80</f>
        <v>0</v>
      </c>
      <c r="N80" s="40">
        <f>F80-червень!F80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E81-червень!E81</f>
        <v>0</v>
      </c>
      <c r="N81" s="40">
        <f>F81-червень!F81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E82-червень!E82</f>
        <v>0</v>
      </c>
      <c r="N82" s="40">
        <f>F82-червень!F82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E83-червень!E83</f>
        <v>0</v>
      </c>
      <c r="N83" s="40">
        <f>F83-червень!F83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E84-червень!E84</f>
        <v>0</v>
      </c>
      <c r="N84" s="40">
        <f>F84-червень!F84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E85-червень!E85</f>
        <v>0</v>
      </c>
      <c r="N85" s="40">
        <f>F85-червень!F85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1640</v>
      </c>
      <c r="F86" s="57">
        <v>0</v>
      </c>
      <c r="G86" s="49">
        <f t="shared" si="24"/>
        <v>-1640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F86-1660.6</f>
        <v>-1660.6</v>
      </c>
      <c r="L86" s="135">
        <f>F86/1660.6</f>
        <v>0</v>
      </c>
      <c r="M86" s="40">
        <f>E86-червень!E86</f>
        <v>480</v>
      </c>
      <c r="N86" s="40">
        <f>F86-червень!F86</f>
        <v>0</v>
      </c>
      <c r="O86" s="53">
        <f t="shared" si="28"/>
        <v>-480</v>
      </c>
      <c r="P86" s="56">
        <f t="shared" si="29"/>
        <v>0</v>
      </c>
      <c r="Q86" s="56">
        <f>N86-476</f>
        <v>-476</v>
      </c>
      <c r="R86" s="135">
        <f>N86/476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>
        <f>F87-189.7</f>
        <v>24.880000000000024</v>
      </c>
      <c r="L87" s="135">
        <f>F87/189.7</f>
        <v>1.131154454401687</v>
      </c>
      <c r="M87" s="40">
        <f>E87-червень!E87</f>
        <v>0</v>
      </c>
      <c r="N87" s="40">
        <f>F87-червень!F87</f>
        <v>0</v>
      </c>
      <c r="O87" s="53">
        <f t="shared" si="28"/>
        <v>0</v>
      </c>
      <c r="P87" s="56" t="e">
        <f t="shared" si="29"/>
        <v>#DIV/0!</v>
      </c>
      <c r="Q87" s="56">
        <f>N87-189.7</f>
        <v>-189.7</v>
      </c>
      <c r="R87" s="135">
        <f>N87/189.7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2.5</v>
      </c>
      <c r="F88" s="57">
        <v>5.6</v>
      </c>
      <c r="G88" s="49">
        <f t="shared" si="24"/>
        <v>3.0999999999999996</v>
      </c>
      <c r="H88" s="40">
        <f>F88/E88*100</f>
        <v>223.99999999999997</v>
      </c>
      <c r="I88" s="56">
        <f t="shared" si="26"/>
        <v>0.5</v>
      </c>
      <c r="J88" s="56">
        <f t="shared" si="27"/>
        <v>109.80392156862746</v>
      </c>
      <c r="K88" s="56">
        <f>F88-1.5</f>
        <v>4.1</v>
      </c>
      <c r="L88" s="135"/>
      <c r="M88" s="40">
        <f>E88-червень!E88</f>
        <v>0.5</v>
      </c>
      <c r="N88" s="40">
        <f>F88-червень!F88</f>
        <v>0</v>
      </c>
      <c r="O88" s="53">
        <f t="shared" si="28"/>
        <v>-0.5</v>
      </c>
      <c r="P88" s="56">
        <f>N88/M88*100</f>
        <v>0</v>
      </c>
      <c r="Q88" s="56">
        <f>N88-1.4</f>
        <v>-1.4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99</v>
      </c>
      <c r="F89" s="57">
        <v>77.05</v>
      </c>
      <c r="G89" s="49">
        <f t="shared" si="24"/>
        <v>-21.950000000000003</v>
      </c>
      <c r="H89" s="40">
        <f>F89/E89*100</f>
        <v>77.82828282828282</v>
      </c>
      <c r="I89" s="56">
        <f t="shared" si="26"/>
        <v>-97.95</v>
      </c>
      <c r="J89" s="56">
        <f t="shared" si="27"/>
        <v>44.028571428571425</v>
      </c>
      <c r="K89" s="56">
        <f>F89-94</f>
        <v>-16.950000000000003</v>
      </c>
      <c r="L89" s="135">
        <f>F89/94</f>
        <v>0.8196808510638297</v>
      </c>
      <c r="M89" s="40">
        <f>E89-червень!E89</f>
        <v>15</v>
      </c>
      <c r="N89" s="40">
        <f>F89-червень!F89</f>
        <v>15.279999999999994</v>
      </c>
      <c r="O89" s="53">
        <f t="shared" si="28"/>
        <v>0.27999999999999403</v>
      </c>
      <c r="P89" s="56">
        <f>N89/M89*100</f>
        <v>101.86666666666662</v>
      </c>
      <c r="Q89" s="56">
        <f>N89-12.8</f>
        <v>2.4799999999999933</v>
      </c>
      <c r="R89" s="135">
        <f>N89/12.8</f>
        <v>1.1937499999999994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E90-червень!E90</f>
        <v>0</v>
      </c>
      <c r="N90" s="40">
        <f>F90-червень!F90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E91-червень!E91</f>
        <v>0</v>
      </c>
      <c r="N91" s="40">
        <f>F91-червень!F91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E92-червень!E92</f>
        <v>0</v>
      </c>
      <c r="N92" s="40">
        <f>F92-червень!F92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E93-червень!E93</f>
        <v>0</v>
      </c>
      <c r="N93" s="40">
        <f>F93-червень!F93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E94-червень!E94</f>
        <v>0</v>
      </c>
      <c r="N94" s="40">
        <f>F94-червень!F94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4106.5</v>
      </c>
      <c r="F95" s="57">
        <v>4143.38</v>
      </c>
      <c r="G95" s="49">
        <f t="shared" si="31"/>
        <v>36.88000000000011</v>
      </c>
      <c r="H95" s="40">
        <f>F95/E95*100</f>
        <v>100.89808839644468</v>
      </c>
      <c r="I95" s="56">
        <f t="shared" si="32"/>
        <v>-2856.62</v>
      </c>
      <c r="J95" s="56">
        <f>F95/D95*100</f>
        <v>59.19114285714285</v>
      </c>
      <c r="K95" s="56">
        <f>F95-4251.4</f>
        <v>-108.01999999999953</v>
      </c>
      <c r="L95" s="135">
        <f>F95/4251.4</f>
        <v>0.9745918991391073</v>
      </c>
      <c r="M95" s="40">
        <f>E95-червень!E95</f>
        <v>575</v>
      </c>
      <c r="N95" s="40">
        <f>F95-червень!F95</f>
        <v>591.6800000000003</v>
      </c>
      <c r="O95" s="53">
        <f t="shared" si="33"/>
        <v>16.68000000000029</v>
      </c>
      <c r="P95" s="56">
        <f>N95/M95*100</f>
        <v>102.90086956521745</v>
      </c>
      <c r="Q95" s="56">
        <f>N95-621.2</f>
        <v>-29.519999999999754</v>
      </c>
      <c r="R95" s="135">
        <f>N95/621.2</f>
        <v>0.9524790727623957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604.5</v>
      </c>
      <c r="F96" s="57">
        <v>520.33</v>
      </c>
      <c r="G96" s="49">
        <f t="shared" si="31"/>
        <v>-84.16999999999996</v>
      </c>
      <c r="H96" s="40">
        <f>F96/E96*100</f>
        <v>86.07609594706369</v>
      </c>
      <c r="I96" s="56">
        <f t="shared" si="32"/>
        <v>-679.67</v>
      </c>
      <c r="J96" s="56">
        <f>F96/D96*100</f>
        <v>43.36083333333334</v>
      </c>
      <c r="K96" s="56">
        <f>F96-602.5</f>
        <v>-82.16999999999996</v>
      </c>
      <c r="L96" s="135">
        <f>F96/602.5</f>
        <v>0.8636182572614108</v>
      </c>
      <c r="M96" s="40">
        <f>E96-червень!E96</f>
        <v>130</v>
      </c>
      <c r="N96" s="40">
        <f>F96-червень!F96</f>
        <v>105.00000000000006</v>
      </c>
      <c r="O96" s="53">
        <f t="shared" si="33"/>
        <v>-24.999999999999943</v>
      </c>
      <c r="P96" s="56">
        <f>N96/M96*100</f>
        <v>80.76923076923082</v>
      </c>
      <c r="Q96" s="56">
        <f>N96-139.4</f>
        <v>-34.39999999999995</v>
      </c>
      <c r="R96" s="135">
        <f>N96/139.4</f>
        <v>0.7532281205164997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E97-червень!E97</f>
        <v>0</v>
      </c>
      <c r="N97" s="40">
        <f>F97-червень!F97</f>
        <v>0.30000000000000004</v>
      </c>
      <c r="O97" s="53">
        <f t="shared" si="33"/>
        <v>0.30000000000000004</v>
      </c>
      <c r="P97" s="56"/>
      <c r="Q97" s="56">
        <f>N97-24.1</f>
        <v>-23.8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E98-червень!E98</f>
        <v>0</v>
      </c>
      <c r="N98" s="40">
        <f>F98-червень!F98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2187</v>
      </c>
      <c r="F99" s="57">
        <v>2323.19</v>
      </c>
      <c r="G99" s="49">
        <f t="shared" si="31"/>
        <v>136.19000000000005</v>
      </c>
      <c r="H99" s="40">
        <f>F99/E99*100</f>
        <v>106.22725194330134</v>
      </c>
      <c r="I99" s="56">
        <f t="shared" si="32"/>
        <v>-2249.5099999999998</v>
      </c>
      <c r="J99" s="56">
        <f>F99/D99*100</f>
        <v>50.80565092833555</v>
      </c>
      <c r="K99" s="56">
        <f>F99-2623.7</f>
        <v>-300.50999999999976</v>
      </c>
      <c r="L99" s="135">
        <f>F99/2623.7</f>
        <v>0.8854632770514923</v>
      </c>
      <c r="M99" s="40">
        <f>E99-червень!E99</f>
        <v>350</v>
      </c>
      <c r="N99" s="40">
        <f>F99-червень!F99</f>
        <v>353.9100000000001</v>
      </c>
      <c r="O99" s="53">
        <f t="shared" si="33"/>
        <v>3.910000000000082</v>
      </c>
      <c r="P99" s="56">
        <f>N99/M99*100</f>
        <v>101.11714285714288</v>
      </c>
      <c r="Q99" s="56">
        <f>N99-632</f>
        <v>-278.0899999999999</v>
      </c>
      <c r="R99" s="135">
        <f>N99/632</f>
        <v>0.55998417721519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E100-червень!E100</f>
        <v>0</v>
      </c>
      <c r="N100" s="40">
        <f>F100-червень!F100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E101-червень!E101</f>
        <v>0</v>
      </c>
      <c r="N101" s="40">
        <f>F101-червень!F101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468.1</v>
      </c>
      <c r="G102" s="144"/>
      <c r="H102" s="146"/>
      <c r="I102" s="145"/>
      <c r="J102" s="145"/>
      <c r="K102" s="148">
        <f>F102-325</f>
        <v>143.10000000000002</v>
      </c>
      <c r="L102" s="149">
        <f>F102/325</f>
        <v>1.4403076923076923</v>
      </c>
      <c r="M102" s="40">
        <f>E102-червень!E102</f>
        <v>0</v>
      </c>
      <c r="N102" s="40">
        <f>F102-червень!F102</f>
        <v>105.41000000000003</v>
      </c>
      <c r="O102" s="53"/>
      <c r="P102" s="60"/>
      <c r="Q102" s="60">
        <f>N102-80.2</f>
        <v>25.210000000000022</v>
      </c>
      <c r="R102" s="138">
        <f>N102/80.2</f>
        <v>1.314339152119701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4.74</v>
      </c>
      <c r="G103" s="144"/>
      <c r="H103" s="146"/>
      <c r="I103" s="145"/>
      <c r="J103" s="145"/>
      <c r="K103" s="148"/>
      <c r="L103" s="149"/>
      <c r="M103" s="40">
        <f>E103-червень!E103</f>
        <v>0</v>
      </c>
      <c r="N103" s="40">
        <f>F103-червень!F103</f>
        <v>0.1200000000000001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-50.37</v>
      </c>
      <c r="K104" s="56">
        <f>F104-59.1</f>
        <v>-45.82</v>
      </c>
      <c r="L104" s="135">
        <f>F104/59.1</f>
        <v>0.22470389170896785</v>
      </c>
      <c r="M104" s="40">
        <f>E104-червень!E104</f>
        <v>0</v>
      </c>
      <c r="N104" s="40">
        <f>F104-червень!F104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18.2</v>
      </c>
      <c r="F105" s="57">
        <v>15.13</v>
      </c>
      <c r="G105" s="49">
        <f>F105-E105</f>
        <v>-3.0699999999999985</v>
      </c>
      <c r="H105" s="40">
        <f>F105/E105*100</f>
        <v>83.13186813186813</v>
      </c>
      <c r="I105" s="56">
        <f t="shared" si="34"/>
        <v>-29.869999999999997</v>
      </c>
      <c r="J105" s="56">
        <f aca="true" t="shared" si="36" ref="J105:J110">F105/D105*100</f>
        <v>33.62222222222223</v>
      </c>
      <c r="K105" s="56">
        <f>F105-13.4</f>
        <v>1.7300000000000004</v>
      </c>
      <c r="L105" s="135">
        <f>F105/13.4</f>
        <v>1.1291044776119403</v>
      </c>
      <c r="M105" s="40">
        <f>E105-червень!E105</f>
        <v>3</v>
      </c>
      <c r="N105" s="40">
        <f>F105-червень!F105</f>
        <v>1.2200000000000006</v>
      </c>
      <c r="O105" s="53">
        <f t="shared" si="35"/>
        <v>-1.7799999999999994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E106-червень!E106</f>
        <v>0</v>
      </c>
      <c r="N106" s="40">
        <f>F106-червень!F106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280231.91</v>
      </c>
      <c r="F107" s="22">
        <f>F8+F74+F105+F106</f>
        <v>269988.71</v>
      </c>
      <c r="G107" s="50">
        <f>F107-E107</f>
        <v>-10243.199999999953</v>
      </c>
      <c r="H107" s="51">
        <f>F107/E107*100</f>
        <v>96.34474175335708</v>
      </c>
      <c r="I107" s="36">
        <f t="shared" si="34"/>
        <v>-236890.88999999996</v>
      </c>
      <c r="J107" s="36">
        <f t="shared" si="36"/>
        <v>53.264860136411095</v>
      </c>
      <c r="K107" s="36">
        <f>F107-279160.4</f>
        <v>-9171.690000000002</v>
      </c>
      <c r="L107" s="136">
        <f>F107/279160.4</f>
        <v>0.9671454475634796</v>
      </c>
      <c r="M107" s="22">
        <f>M8+M74+M105+M106</f>
        <v>39521.680000000015</v>
      </c>
      <c r="N107" s="22">
        <f>N8+N74+N105+N106</f>
        <v>37214.12</v>
      </c>
      <c r="O107" s="55">
        <f t="shared" si="35"/>
        <v>-2307.560000000012</v>
      </c>
      <c r="P107" s="36">
        <f>N107/M107*100</f>
        <v>94.16128059333508</v>
      </c>
      <c r="Q107" s="36">
        <f>N107-42056.4</f>
        <v>-4842.279999999999</v>
      </c>
      <c r="R107" s="136">
        <f>N107/42056.4</f>
        <v>0.8848622326209566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221975.6</v>
      </c>
      <c r="F108" s="71">
        <f>F10-F18+F96</f>
        <v>213296.71</v>
      </c>
      <c r="G108" s="71">
        <f>G10-G18+G96</f>
        <v>-8678.890000000001</v>
      </c>
      <c r="H108" s="72">
        <f>F108/E108*100</f>
        <v>96.09016035996748</v>
      </c>
      <c r="I108" s="52">
        <f t="shared" si="34"/>
        <v>-174916.49000000002</v>
      </c>
      <c r="J108" s="52">
        <f t="shared" si="36"/>
        <v>54.94318843357207</v>
      </c>
      <c r="K108" s="52">
        <f>F108-212017.3</f>
        <v>1279.4100000000035</v>
      </c>
      <c r="L108" s="137">
        <f>F108/212017.3</f>
        <v>1.006034460395449</v>
      </c>
      <c r="M108" s="71">
        <f>M10-M18+M96</f>
        <v>30954.800000000017</v>
      </c>
      <c r="N108" s="71">
        <f>N10-N18+N96</f>
        <v>29883.25</v>
      </c>
      <c r="O108" s="53">
        <f t="shared" si="35"/>
        <v>-1071.5500000000175</v>
      </c>
      <c r="P108" s="52">
        <f>N108/M108*100</f>
        <v>96.53833977283</v>
      </c>
      <c r="Q108" s="52">
        <f>N108-32331.5</f>
        <v>-2448.25</v>
      </c>
      <c r="R108" s="137">
        <f>N108/32331.5</f>
        <v>0.9242766342421478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58256.30999999997</v>
      </c>
      <c r="F109" s="71">
        <f>F107-F108</f>
        <v>56692.00000000003</v>
      </c>
      <c r="G109" s="62">
        <f>F109-E109</f>
        <v>-1564.3099999999395</v>
      </c>
      <c r="H109" s="72">
        <f>F109/E109*100</f>
        <v>97.31478014999587</v>
      </c>
      <c r="I109" s="52">
        <f t="shared" si="34"/>
        <v>-61974.399999999936</v>
      </c>
      <c r="J109" s="52">
        <f t="shared" si="36"/>
        <v>47.77426466126894</v>
      </c>
      <c r="K109" s="52">
        <f>F109-67143.1</f>
        <v>-10451.099999999977</v>
      </c>
      <c r="L109" s="137">
        <f>F109/67143.1</f>
        <v>0.8443458821531926</v>
      </c>
      <c r="M109" s="71">
        <f>M107-M108</f>
        <v>8566.879999999997</v>
      </c>
      <c r="N109" s="71">
        <f>N107-N108</f>
        <v>7330.870000000003</v>
      </c>
      <c r="O109" s="53">
        <f t="shared" si="35"/>
        <v>-1236.0099999999948</v>
      </c>
      <c r="P109" s="52">
        <f>N109/M109*100</f>
        <v>85.57222699512546</v>
      </c>
      <c r="Q109" s="52">
        <f>N109-9724.9</f>
        <v>-2394.029999999997</v>
      </c>
      <c r="R109" s="137">
        <f>N109/9924.9</f>
        <v>0.7386341424094957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216605.7</v>
      </c>
      <c r="F110" s="71">
        <f>F108</f>
        <v>213296.71</v>
      </c>
      <c r="G110" s="111">
        <f>F110-E110</f>
        <v>-3308.99000000002</v>
      </c>
      <c r="H110" s="72">
        <f>F110/E110*100</f>
        <v>98.47234398725425</v>
      </c>
      <c r="I110" s="81">
        <f t="shared" si="34"/>
        <v>-174916.49000000002</v>
      </c>
      <c r="J110" s="52">
        <f t="shared" si="36"/>
        <v>54.94318843357207</v>
      </c>
      <c r="K110" s="52"/>
      <c r="L110" s="137"/>
      <c r="M110" s="72">
        <f>E110-травень!E109</f>
        <v>65489.30000000002</v>
      </c>
      <c r="N110" s="71">
        <f>N108</f>
        <v>29883.25</v>
      </c>
      <c r="O110" s="118">
        <f t="shared" si="35"/>
        <v>-35606.05000000002</v>
      </c>
      <c r="P110" s="52">
        <f>N110/M110*100</f>
        <v>45.6307366241508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253</v>
      </c>
      <c r="C112" s="93"/>
      <c r="D112" s="84"/>
      <c r="E112" s="111">
        <f>0-червень!G110</f>
        <v>2237.4400000000023</v>
      </c>
      <c r="F112" s="84">
        <v>0</v>
      </c>
      <c r="G112" s="62">
        <f>F112-E112</f>
        <v>-2237.4400000000023</v>
      </c>
      <c r="H112" s="72"/>
      <c r="I112" s="85"/>
      <c r="J112" s="52"/>
      <c r="K112" s="52"/>
      <c r="L112" s="137"/>
      <c r="M112" s="159">
        <f>E112</f>
        <v>2237.4400000000023</v>
      </c>
      <c r="N112" s="84">
        <v>0</v>
      </c>
      <c r="O112" s="118">
        <f>N112-M112</f>
        <v>-2237.4400000000023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F114-13.5</f>
        <v>-14.64</v>
      </c>
      <c r="L114" s="138">
        <f>F114/13.5</f>
        <v>-0.08444444444444443</v>
      </c>
      <c r="M114" s="40">
        <f>E114-червень!E114</f>
        <v>0</v>
      </c>
      <c r="N114" s="40">
        <f>F114-червень!F114</f>
        <v>0</v>
      </c>
      <c r="O114" s="53"/>
      <c r="P114" s="60"/>
      <c r="Q114" s="60">
        <f>N114-5.6</f>
        <v>-5.6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2024.6</v>
      </c>
      <c r="F115" s="32">
        <v>788.45</v>
      </c>
      <c r="G115" s="49">
        <f t="shared" si="37"/>
        <v>-1236.1499999999999</v>
      </c>
      <c r="H115" s="40">
        <f aca="true" t="shared" si="39" ref="H115:H126">F115/E115*100</f>
        <v>38.94349501136028</v>
      </c>
      <c r="I115" s="60">
        <f t="shared" si="38"/>
        <v>-2883.05</v>
      </c>
      <c r="J115" s="60">
        <f aca="true" t="shared" si="40" ref="J115:J121">F115/D115*100</f>
        <v>21.47487402968814</v>
      </c>
      <c r="K115" s="60">
        <f>F115-2198.8</f>
        <v>-1410.3500000000001</v>
      </c>
      <c r="L115" s="138">
        <f>F115/2198.8</f>
        <v>0.35858195379297797</v>
      </c>
      <c r="M115" s="40">
        <f>E115-червень!E115</f>
        <v>327.5</v>
      </c>
      <c r="N115" s="40">
        <f>F115-червень!F115</f>
        <v>182.37</v>
      </c>
      <c r="O115" s="53">
        <f aca="true" t="shared" si="41" ref="O115:O126">N115-M115</f>
        <v>-145.13</v>
      </c>
      <c r="P115" s="60">
        <f>N115/M115*100</f>
        <v>55.685496183206105</v>
      </c>
      <c r="Q115" s="60">
        <f>N115-307.3</f>
        <v>-124.93</v>
      </c>
      <c r="R115" s="138">
        <f>N115/307.3</f>
        <v>0.5934591604295477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156.5</v>
      </c>
      <c r="F116" s="32">
        <v>183.34</v>
      </c>
      <c r="G116" s="49">
        <f t="shared" si="37"/>
        <v>26.840000000000003</v>
      </c>
      <c r="H116" s="40">
        <f t="shared" si="39"/>
        <v>117.15015974440894</v>
      </c>
      <c r="I116" s="60">
        <f t="shared" si="38"/>
        <v>-84.76000000000002</v>
      </c>
      <c r="J116" s="60">
        <f t="shared" si="40"/>
        <v>68.38493099589705</v>
      </c>
      <c r="K116" s="60">
        <f>F116-153.8</f>
        <v>29.539999999999992</v>
      </c>
      <c r="L116" s="138">
        <f>F116/153.8</f>
        <v>1.1920676202860858</v>
      </c>
      <c r="M116" s="40">
        <f>E116-червень!E116</f>
        <v>22</v>
      </c>
      <c r="N116" s="40">
        <f>F116-червень!F116</f>
        <v>18.129999999999995</v>
      </c>
      <c r="O116" s="53">
        <f t="shared" si="41"/>
        <v>-3.8700000000000045</v>
      </c>
      <c r="P116" s="60">
        <f>N116/M116*100</f>
        <v>82.40909090909089</v>
      </c>
      <c r="Q116" s="60">
        <f>N116-22.6</f>
        <v>-4.470000000000006</v>
      </c>
      <c r="R116" s="138">
        <f>N116/22.6</f>
        <v>0.8022123893805307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2181.1</v>
      </c>
      <c r="F117" s="38">
        <f>SUM(F114:F116)</f>
        <v>970.6500000000001</v>
      </c>
      <c r="G117" s="62">
        <f t="shared" si="37"/>
        <v>-1210.4499999999998</v>
      </c>
      <c r="H117" s="72">
        <f t="shared" si="39"/>
        <v>44.502773829718954</v>
      </c>
      <c r="I117" s="61">
        <f t="shared" si="38"/>
        <v>-2968.95</v>
      </c>
      <c r="J117" s="61">
        <f t="shared" si="40"/>
        <v>24.63828815108133</v>
      </c>
      <c r="K117" s="61">
        <f>F117-2366</f>
        <v>-1395.35</v>
      </c>
      <c r="L117" s="139">
        <f>F117/2366</f>
        <v>0.41024936601859685</v>
      </c>
      <c r="M117" s="62">
        <f>M115+M116+M114</f>
        <v>349.5</v>
      </c>
      <c r="N117" s="38">
        <f>SUM(N114:N116)</f>
        <v>200.5</v>
      </c>
      <c r="O117" s="61">
        <f t="shared" si="41"/>
        <v>-149</v>
      </c>
      <c r="P117" s="61">
        <f>N117/M117*100</f>
        <v>57.36766809728183</v>
      </c>
      <c r="Q117" s="61">
        <f>N117-335.5</f>
        <v>-135</v>
      </c>
      <c r="R117" s="139">
        <f>N117/335.5</f>
        <v>0.5976154992548435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33">
        <v>252.33</v>
      </c>
      <c r="G119" s="49">
        <f t="shared" si="37"/>
        <v>69.83000000000001</v>
      </c>
      <c r="H119" s="40">
        <f t="shared" si="39"/>
        <v>138.26301369863015</v>
      </c>
      <c r="I119" s="60">
        <f t="shared" si="38"/>
        <v>-14.869999999999976</v>
      </c>
      <c r="J119" s="60">
        <f t="shared" si="40"/>
        <v>94.43488023952096</v>
      </c>
      <c r="K119" s="60">
        <f>F119-172.6</f>
        <v>79.73000000000002</v>
      </c>
      <c r="L119" s="138">
        <f>F119/172.6</f>
        <v>1.4619351100811124</v>
      </c>
      <c r="M119" s="40">
        <f>E119-червень!E119</f>
        <v>73</v>
      </c>
      <c r="N119" s="40">
        <f>F119-червень!F119</f>
        <v>114.05000000000001</v>
      </c>
      <c r="O119" s="53">
        <f>N119-M119</f>
        <v>41.05000000000001</v>
      </c>
      <c r="P119" s="60">
        <f>N119/M119*100</f>
        <v>156.23287671232876</v>
      </c>
      <c r="Q119" s="60">
        <f>N119-76.8</f>
        <v>37.250000000000014</v>
      </c>
      <c r="R119" s="138">
        <f>N119/76.8</f>
        <v>1.485026041666667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41312.6</v>
      </c>
      <c r="F120" s="33">
        <v>45489.9</v>
      </c>
      <c r="G120" s="49">
        <f t="shared" si="37"/>
        <v>4177.300000000003</v>
      </c>
      <c r="H120" s="40">
        <f t="shared" si="39"/>
        <v>110.11144299801998</v>
      </c>
      <c r="I120" s="53">
        <f t="shared" si="38"/>
        <v>-26486.090000000004</v>
      </c>
      <c r="J120" s="60">
        <f t="shared" si="40"/>
        <v>63.20149260885471</v>
      </c>
      <c r="K120" s="60">
        <f>F120-39659.2</f>
        <v>5830.700000000004</v>
      </c>
      <c r="L120" s="138">
        <f>F120/39659.2</f>
        <v>1.1470201113486909</v>
      </c>
      <c r="M120" s="40">
        <f>E120-червень!E120</f>
        <v>7100</v>
      </c>
      <c r="N120" s="40">
        <f>F120-червень!F120</f>
        <v>7436.190000000002</v>
      </c>
      <c r="O120" s="53">
        <f t="shared" si="41"/>
        <v>336.1900000000023</v>
      </c>
      <c r="P120" s="60">
        <f aca="true" t="shared" si="42" ref="P120:P125">N120/M120*100</f>
        <v>104.73507042253524</v>
      </c>
      <c r="Q120" s="60">
        <v>7148.5</v>
      </c>
      <c r="R120" s="138">
        <f>N120/7148.5</f>
        <v>1.040244806602784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1683</v>
      </c>
      <c r="F121" s="33">
        <v>1678.13</v>
      </c>
      <c r="G121" s="49">
        <f t="shared" si="37"/>
        <v>-4.869999999999891</v>
      </c>
      <c r="H121" s="40">
        <f t="shared" si="39"/>
        <v>99.71063576945932</v>
      </c>
      <c r="I121" s="60">
        <f t="shared" si="38"/>
        <v>-8321.869999999999</v>
      </c>
      <c r="J121" s="60">
        <f t="shared" si="40"/>
        <v>16.7813</v>
      </c>
      <c r="K121" s="60">
        <f>F121-1120.9</f>
        <v>557.23</v>
      </c>
      <c r="L121" s="138">
        <f>F121/1120.9</f>
        <v>1.4971273084128824</v>
      </c>
      <c r="M121" s="40">
        <f>E121-червень!E121</f>
        <v>16</v>
      </c>
      <c r="N121" s="40">
        <f>F121-червень!F121</f>
        <v>19.190000000000055</v>
      </c>
      <c r="O121" s="53">
        <f t="shared" si="41"/>
        <v>3.1900000000000546</v>
      </c>
      <c r="P121" s="60">
        <f t="shared" si="42"/>
        <v>119.93750000000034</v>
      </c>
      <c r="Q121" s="60">
        <f>N121-496.3</f>
        <v>-477.10999999999996</v>
      </c>
      <c r="R121" s="138">
        <f>N121/496.3</f>
        <v>0.038666129357243714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7232.5</v>
      </c>
      <c r="F122" s="33">
        <v>2238.43</v>
      </c>
      <c r="G122" s="49">
        <f t="shared" si="37"/>
        <v>-4994.07</v>
      </c>
      <c r="H122" s="40">
        <f t="shared" si="39"/>
        <v>30.949602488765986</v>
      </c>
      <c r="I122" s="60">
        <f t="shared" si="38"/>
        <v>-20839.57</v>
      </c>
      <c r="J122" s="60">
        <f>F122/D122*100</f>
        <v>9.699410694167605</v>
      </c>
      <c r="K122" s="60">
        <f>F122-14177.3</f>
        <v>-11938.869999999999</v>
      </c>
      <c r="L122" s="138">
        <f>F122/14177.3</f>
        <v>0.1578883144181191</v>
      </c>
      <c r="M122" s="40">
        <f>E122-червень!E122</f>
        <v>2409.8999999999996</v>
      </c>
      <c r="N122" s="40">
        <f>F122-червень!F122</f>
        <v>121.29999999999973</v>
      </c>
      <c r="O122" s="53">
        <f t="shared" si="41"/>
        <v>-2288.6</v>
      </c>
      <c r="P122" s="60">
        <f t="shared" si="42"/>
        <v>5.033403875679478</v>
      </c>
      <c r="Q122" s="60">
        <f>N122-329.4</f>
        <v>-208.10000000000025</v>
      </c>
      <c r="R122" s="138">
        <f>N122/329.4</f>
        <v>0.36824529447480187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1052.04</v>
      </c>
      <c r="F123" s="33">
        <v>764.22</v>
      </c>
      <c r="G123" s="49">
        <f t="shared" si="37"/>
        <v>-287.81999999999994</v>
      </c>
      <c r="H123" s="40">
        <f t="shared" si="39"/>
        <v>72.64172464925288</v>
      </c>
      <c r="I123" s="60">
        <f t="shared" si="38"/>
        <v>-1235.78</v>
      </c>
      <c r="J123" s="60">
        <f>F123/D123*100</f>
        <v>38.211</v>
      </c>
      <c r="K123" s="60">
        <f>F123-1349.4</f>
        <v>-585.1800000000001</v>
      </c>
      <c r="L123" s="138">
        <f>F123/1349.4</f>
        <v>0.5663405958203646</v>
      </c>
      <c r="M123" s="40">
        <f>E123-червень!E123</f>
        <v>189.58999999999992</v>
      </c>
      <c r="N123" s="40">
        <f>F123-червень!F123</f>
        <v>35.91000000000008</v>
      </c>
      <c r="O123" s="53">
        <f t="shared" si="41"/>
        <v>-153.67999999999984</v>
      </c>
      <c r="P123" s="60">
        <f t="shared" si="42"/>
        <v>18.940872408882374</v>
      </c>
      <c r="Q123" s="60">
        <f>N123-149.4</f>
        <v>-113.48999999999992</v>
      </c>
      <c r="R123" s="138">
        <f>N123/149.4</f>
        <v>0.24036144578313307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51462.64</v>
      </c>
      <c r="F124" s="38">
        <f>F120+F121+F122+F123+F119</f>
        <v>50423.01</v>
      </c>
      <c r="G124" s="62">
        <f t="shared" si="37"/>
        <v>-1039.6299999999974</v>
      </c>
      <c r="H124" s="72">
        <f t="shared" si="39"/>
        <v>97.97983546899266</v>
      </c>
      <c r="I124" s="61">
        <f t="shared" si="38"/>
        <v>-56898.18</v>
      </c>
      <c r="J124" s="61">
        <f>F124/D124*100</f>
        <v>46.983275157496855</v>
      </c>
      <c r="K124" s="61">
        <f>F124-56479.4</f>
        <v>-6056.389999999999</v>
      </c>
      <c r="L124" s="139">
        <f>F124/56479.4</f>
        <v>0.8927681597184106</v>
      </c>
      <c r="M124" s="62">
        <f>M120+M121+M122+M123+M119</f>
        <v>9788.49</v>
      </c>
      <c r="N124" s="62">
        <f>N120+N121+N122+N123+N119</f>
        <v>7726.640000000002</v>
      </c>
      <c r="O124" s="61">
        <f t="shared" si="41"/>
        <v>-2061.8499999999976</v>
      </c>
      <c r="P124" s="61">
        <f t="shared" si="42"/>
        <v>78.93597480305954</v>
      </c>
      <c r="Q124" s="61">
        <f>N124-8200.3</f>
        <v>-473.6599999999971</v>
      </c>
      <c r="R124" s="139">
        <f>N124/8200.3</f>
        <v>0.9422386985841985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19.16</v>
      </c>
      <c r="F125" s="33">
        <v>14.17</v>
      </c>
      <c r="G125" s="49">
        <f t="shared" si="37"/>
        <v>-4.99</v>
      </c>
      <c r="H125" s="40">
        <f t="shared" si="39"/>
        <v>73.95615866388309</v>
      </c>
      <c r="I125" s="60">
        <f t="shared" si="38"/>
        <v>-29.33</v>
      </c>
      <c r="J125" s="60">
        <f>F125/D125*100</f>
        <v>32.57471264367816</v>
      </c>
      <c r="K125" s="60">
        <f>F125-109.2</f>
        <v>-95.03</v>
      </c>
      <c r="L125" s="138">
        <f>F125/109.2</f>
        <v>0.12976190476190474</v>
      </c>
      <c r="M125" s="40">
        <f>E125-червень!E125</f>
        <v>2</v>
      </c>
      <c r="N125" s="40">
        <f>F125-червень!F125</f>
        <v>0</v>
      </c>
      <c r="O125" s="53">
        <f t="shared" si="41"/>
        <v>-2</v>
      </c>
      <c r="P125" s="60">
        <f t="shared" si="42"/>
        <v>0</v>
      </c>
      <c r="Q125" s="60">
        <f>N125-8.5</f>
        <v>-8.5</v>
      </c>
      <c r="R125" s="138">
        <f>N125/8.5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E126-червень!E126</f>
        <v>0</v>
      </c>
      <c r="N126" s="40">
        <f>F126-червень!F126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E127-червень!E127</f>
        <v>0</v>
      </c>
      <c r="N127" s="40">
        <f>F127-червень!F127</f>
        <v>1.7199999999999989</v>
      </c>
      <c r="O127" s="53"/>
      <c r="P127" s="63"/>
      <c r="Q127" s="53">
        <f>N127-0</f>
        <v>1.7199999999999989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5015.5</v>
      </c>
      <c r="F128" s="33">
        <v>5307.56</v>
      </c>
      <c r="G128" s="49">
        <f aca="true" t="shared" si="43" ref="G128:G135">F128-E128</f>
        <v>292.0600000000004</v>
      </c>
      <c r="H128" s="40">
        <f>F128/E128*100</f>
        <v>105.8231482404546</v>
      </c>
      <c r="I128" s="60">
        <f aca="true" t="shared" si="44" ref="I128:I135">F128-D128</f>
        <v>-3392.4399999999996</v>
      </c>
      <c r="J128" s="60">
        <f>F128/D128*100</f>
        <v>61.006436781609196</v>
      </c>
      <c r="K128" s="60">
        <f>F128-6320.8</f>
        <v>-1013.2399999999998</v>
      </c>
      <c r="L128" s="138">
        <f>F128/6320.8</f>
        <v>0.8396975066447285</v>
      </c>
      <c r="M128" s="40">
        <f>E128-червень!E128</f>
        <v>3</v>
      </c>
      <c r="N128" s="40">
        <f>F128-червень!F128</f>
        <v>12</v>
      </c>
      <c r="O128" s="53">
        <f aca="true" t="shared" si="45" ref="O128:O135">N128-M128</f>
        <v>9</v>
      </c>
      <c r="P128" s="60">
        <f>N128/M128*100</f>
        <v>400</v>
      </c>
      <c r="Q128" s="60">
        <f>N128-19.4</f>
        <v>-7.399999999999999</v>
      </c>
      <c r="R128" s="162">
        <f>N128/19.4</f>
        <v>0.6185567010309279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0.41</v>
      </c>
      <c r="G129" s="49">
        <f t="shared" si="43"/>
        <v>0.41</v>
      </c>
      <c r="H129" s="40"/>
      <c r="I129" s="60">
        <f t="shared" si="44"/>
        <v>0.41</v>
      </c>
      <c r="J129" s="60"/>
      <c r="K129" s="60">
        <f>F129-(-0.1)</f>
        <v>0.51</v>
      </c>
      <c r="L129" s="138">
        <f>F129/(-0.1)</f>
        <v>-4.1</v>
      </c>
      <c r="M129" s="40">
        <f>E129-червень!E129</f>
        <v>0</v>
      </c>
      <c r="N129" s="40">
        <f>F129-червень!F129</f>
        <v>0.14999999999999997</v>
      </c>
      <c r="O129" s="53">
        <f t="shared" si="45"/>
        <v>0.14999999999999997</v>
      </c>
      <c r="P129" s="60"/>
      <c r="Q129" s="60">
        <f>N129-0.3</f>
        <v>-0.15000000000000002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5041.86</v>
      </c>
      <c r="F130" s="38">
        <f>F128+F125+F129+F127</f>
        <v>5341.62</v>
      </c>
      <c r="G130" s="62">
        <f t="shared" si="43"/>
        <v>299.7600000000002</v>
      </c>
      <c r="H130" s="72">
        <f>F130/E130*100</f>
        <v>105.94542490271448</v>
      </c>
      <c r="I130" s="61">
        <f t="shared" si="44"/>
        <v>-3409.080000000001</v>
      </c>
      <c r="J130" s="61">
        <f>F130/D130*100</f>
        <v>61.04220233809866</v>
      </c>
      <c r="K130" s="61">
        <f>F130-6438.4</f>
        <v>-1096.7799999999997</v>
      </c>
      <c r="L130" s="139">
        <f>G130/6438.4</f>
        <v>0.0465581510934394</v>
      </c>
      <c r="M130" s="62">
        <f>M125+M128+M129+M127</f>
        <v>5</v>
      </c>
      <c r="N130" s="62">
        <f>N125+N128+N129+N127</f>
        <v>13.87</v>
      </c>
      <c r="O130" s="61">
        <f t="shared" si="45"/>
        <v>8.87</v>
      </c>
      <c r="P130" s="61">
        <f>N130/M130*100</f>
        <v>277.4</v>
      </c>
      <c r="Q130" s="61">
        <f>N130-28.2</f>
        <v>-14.33</v>
      </c>
      <c r="R130" s="137">
        <f>N130/28.2</f>
        <v>0.49184397163120563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16.05</v>
      </c>
      <c r="F131" s="33">
        <v>22.4</v>
      </c>
      <c r="G131" s="49">
        <f>F131-E131</f>
        <v>6.349999999999998</v>
      </c>
      <c r="H131" s="40">
        <f>F131/E131*100</f>
        <v>139.5638629283489</v>
      </c>
      <c r="I131" s="60">
        <f>F131-D131</f>
        <v>-7.600000000000001</v>
      </c>
      <c r="J131" s="60">
        <f>F131/D131*100</f>
        <v>74.66666666666666</v>
      </c>
      <c r="K131" s="60">
        <f>F131-17.3</f>
        <v>5.099999999999998</v>
      </c>
      <c r="L131" s="138">
        <f>F131/17.3</f>
        <v>1.2947976878612715</v>
      </c>
      <c r="M131" s="40">
        <f>E131-червень!E131</f>
        <v>0.40000000000000036</v>
      </c>
      <c r="N131" s="40">
        <f>F131-червень!F131</f>
        <v>1.2799999999999976</v>
      </c>
      <c r="O131" s="53">
        <f>N131-M131</f>
        <v>0.8799999999999972</v>
      </c>
      <c r="P131" s="60">
        <f>N131/M131*100</f>
        <v>319.99999999999915</v>
      </c>
      <c r="Q131" s="60">
        <f>N131-0.5</f>
        <v>0.7799999999999976</v>
      </c>
      <c r="R131" s="138">
        <f>N131/0.5</f>
        <v>2.559999999999995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E132-червень!E132</f>
        <v>0</v>
      </c>
      <c r="N132" s="40">
        <f>F132-червень!F132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E133-червень!E133</f>
        <v>0</v>
      </c>
      <c r="N133" s="40">
        <f>F133-червень!F133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58701.65</v>
      </c>
      <c r="F134" s="31">
        <f>F117+F131+F124+F130+F133+F132</f>
        <v>56757.68000000001</v>
      </c>
      <c r="G134" s="50">
        <f t="shared" si="43"/>
        <v>-1943.969999999994</v>
      </c>
      <c r="H134" s="51">
        <f>F134/E134*100</f>
        <v>96.68838950864244</v>
      </c>
      <c r="I134" s="36">
        <f t="shared" si="44"/>
        <v>-63283.81</v>
      </c>
      <c r="J134" s="36">
        <f>F134/D134*100</f>
        <v>47.28171901231816</v>
      </c>
      <c r="K134" s="36">
        <f>F134-65301.1</f>
        <v>-8543.419999999991</v>
      </c>
      <c r="L134" s="136">
        <f>F134/65301.1</f>
        <v>0.869168819514526</v>
      </c>
      <c r="M134" s="31">
        <f>M117+M131+M124+M130+M133+M132</f>
        <v>10143.39</v>
      </c>
      <c r="N134" s="31">
        <f>N117+N131+N124+N130+N133+N132</f>
        <v>7942.290000000002</v>
      </c>
      <c r="O134" s="36">
        <f t="shared" si="45"/>
        <v>-2201.0999999999976</v>
      </c>
      <c r="P134" s="36">
        <f>N134/M134*100</f>
        <v>78.30015409049639</v>
      </c>
      <c r="Q134" s="36">
        <f>N134-8564.5</f>
        <v>-622.2099999999982</v>
      </c>
      <c r="R134" s="136">
        <f>N134/8564.5</f>
        <v>0.9273501080039701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338933.56</v>
      </c>
      <c r="F135" s="31">
        <f>F107+F134</f>
        <v>326746.39</v>
      </c>
      <c r="G135" s="50">
        <f t="shared" si="43"/>
        <v>-12187.169999999984</v>
      </c>
      <c r="H135" s="51">
        <f>F135/E135*100</f>
        <v>96.40425987913383</v>
      </c>
      <c r="I135" s="36">
        <f t="shared" si="44"/>
        <v>-300174.69999999995</v>
      </c>
      <c r="J135" s="36">
        <f>F135/D135*100</f>
        <v>52.11922125637854</v>
      </c>
      <c r="K135" s="36">
        <f>F135-344461.4</f>
        <v>-17715.01000000001</v>
      </c>
      <c r="L135" s="136">
        <f>F135/344461.4</f>
        <v>0.9485718573982455</v>
      </c>
      <c r="M135" s="22">
        <f>M107+M134</f>
        <v>49665.070000000014</v>
      </c>
      <c r="N135" s="22">
        <f>N107+N134</f>
        <v>45156.41</v>
      </c>
      <c r="O135" s="36">
        <f t="shared" si="45"/>
        <v>-4508.660000000011</v>
      </c>
      <c r="P135" s="36">
        <f>N135/M135*100</f>
        <v>90.9218692332458</v>
      </c>
      <c r="Q135" s="36">
        <f>N135-50620.9</f>
        <v>-5464.489999999998</v>
      </c>
      <c r="R135" s="136">
        <f>N135/50620.9</f>
        <v>0.8920507142306834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2</v>
      </c>
      <c r="D137" s="4" t="s">
        <v>118</v>
      </c>
    </row>
    <row r="138" spans="2:17" ht="31.5">
      <c r="B138" s="78" t="s">
        <v>154</v>
      </c>
      <c r="C138" s="39">
        <f>IF(O107&lt;0,ABS(O107/C137),0)</f>
        <v>1153.780000000006</v>
      </c>
      <c r="D138" s="4" t="s">
        <v>104</v>
      </c>
      <c r="G138" s="194"/>
      <c r="H138" s="194"/>
      <c r="I138" s="194"/>
      <c r="J138" s="194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41849</v>
      </c>
      <c r="D139" s="39">
        <v>4403.7</v>
      </c>
      <c r="N139" s="195"/>
      <c r="O139" s="195"/>
    </row>
    <row r="140" spans="3:15" ht="15.75">
      <c r="C140" s="120">
        <v>41848</v>
      </c>
      <c r="D140" s="39">
        <v>1588.8</v>
      </c>
      <c r="F140" s="4" t="s">
        <v>166</v>
      </c>
      <c r="G140" s="196" t="s">
        <v>151</v>
      </c>
      <c r="H140" s="196"/>
      <c r="I140" s="115">
        <v>13825.22196</v>
      </c>
      <c r="J140" s="197" t="s">
        <v>161</v>
      </c>
      <c r="K140" s="197"/>
      <c r="L140" s="197"/>
      <c r="M140" s="197"/>
      <c r="N140" s="195"/>
      <c r="O140" s="195"/>
    </row>
    <row r="141" spans="3:15" ht="15.75">
      <c r="C141" s="120">
        <v>41845</v>
      </c>
      <c r="D141" s="39">
        <v>1085.8</v>
      </c>
      <c r="G141" s="200" t="s">
        <v>155</v>
      </c>
      <c r="H141" s="200"/>
      <c r="I141" s="112">
        <v>0</v>
      </c>
      <c r="J141" s="201" t="s">
        <v>162</v>
      </c>
      <c r="K141" s="201"/>
      <c r="L141" s="201"/>
      <c r="M141" s="201"/>
      <c r="N141" s="195"/>
      <c r="O141" s="195"/>
    </row>
    <row r="142" spans="7:13" ht="15.75" customHeight="1">
      <c r="G142" s="196" t="s">
        <v>148</v>
      </c>
      <c r="H142" s="196"/>
      <c r="I142" s="112">
        <v>0</v>
      </c>
      <c r="J142" s="197" t="s">
        <v>163</v>
      </c>
      <c r="K142" s="197"/>
      <c r="L142" s="197"/>
      <c r="M142" s="197"/>
    </row>
    <row r="143" spans="2:13" ht="18.75" customHeight="1">
      <c r="B143" s="202" t="s">
        <v>160</v>
      </c>
      <c r="C143" s="203"/>
      <c r="D143" s="117">
        <v>119837.99670999999</v>
      </c>
      <c r="E143" s="80"/>
      <c r="F143" s="100" t="s">
        <v>147</v>
      </c>
      <c r="G143" s="196" t="s">
        <v>149</v>
      </c>
      <c r="H143" s="196"/>
      <c r="I143" s="116">
        <v>106012.77475</v>
      </c>
      <c r="J143" s="197" t="s">
        <v>164</v>
      </c>
      <c r="K143" s="197"/>
      <c r="L143" s="197"/>
      <c r="M143" s="197"/>
    </row>
    <row r="144" spans="7:12" ht="9.75" customHeight="1">
      <c r="G144" s="204"/>
      <c r="H144" s="204"/>
      <c r="I144" s="98"/>
      <c r="J144" s="99"/>
      <c r="K144" s="99"/>
      <c r="L144" s="99"/>
    </row>
    <row r="145" spans="2:12" ht="22.5" customHeight="1">
      <c r="B145" s="205" t="s">
        <v>169</v>
      </c>
      <c r="C145" s="206"/>
      <c r="D145" s="119">
        <v>23080.77602999999</v>
      </c>
      <c r="E145" s="77" t="s">
        <v>104</v>
      </c>
      <c r="G145" s="204"/>
      <c r="H145" s="204"/>
      <c r="I145" s="98"/>
      <c r="J145" s="99"/>
      <c r="K145" s="99"/>
      <c r="L145" s="99"/>
    </row>
    <row r="146" spans="4:15" ht="15.75">
      <c r="D146" s="114"/>
      <c r="N146" s="204"/>
      <c r="O146" s="204"/>
    </row>
    <row r="147" spans="4:15" ht="15.75">
      <c r="D147" s="113"/>
      <c r="I147" s="39"/>
      <c r="N147" s="207"/>
      <c r="O147" s="207"/>
    </row>
    <row r="148" spans="14:15" ht="15.75">
      <c r="N148" s="204"/>
      <c r="O148" s="204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6" right="0.18" top="0.26" bottom="0.38" header="0.17" footer="0.29"/>
  <pageSetup fitToHeight="1" fitToWidth="1"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69" t="s">
        <v>246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26"/>
      <c r="R1" s="127"/>
    </row>
    <row r="2" spans="2:18" s="1" customFormat="1" ht="15.75" customHeight="1">
      <c r="B2" s="170"/>
      <c r="C2" s="170"/>
      <c r="D2" s="17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1"/>
      <c r="B3" s="173"/>
      <c r="C3" s="174" t="s">
        <v>0</v>
      </c>
      <c r="D3" s="175" t="s">
        <v>224</v>
      </c>
      <c r="E3" s="175"/>
      <c r="F3" s="176" t="s">
        <v>107</v>
      </c>
      <c r="G3" s="177"/>
      <c r="H3" s="177"/>
      <c r="I3" s="177"/>
      <c r="J3" s="177"/>
      <c r="K3" s="177"/>
      <c r="L3" s="178"/>
      <c r="M3" s="179" t="s">
        <v>225</v>
      </c>
      <c r="N3" s="168" t="s">
        <v>243</v>
      </c>
      <c r="O3" s="168"/>
      <c r="P3" s="168"/>
      <c r="Q3" s="168"/>
      <c r="R3" s="168"/>
    </row>
    <row r="4" spans="1:18" ht="22.5" customHeight="1">
      <c r="A4" s="171"/>
      <c r="B4" s="173"/>
      <c r="C4" s="174"/>
      <c r="D4" s="175"/>
      <c r="E4" s="175"/>
      <c r="F4" s="180" t="s">
        <v>116</v>
      </c>
      <c r="G4" s="182" t="s">
        <v>238</v>
      </c>
      <c r="H4" s="184" t="s">
        <v>239</v>
      </c>
      <c r="I4" s="186" t="s">
        <v>188</v>
      </c>
      <c r="J4" s="188" t="s">
        <v>189</v>
      </c>
      <c r="K4" s="190" t="s">
        <v>240</v>
      </c>
      <c r="L4" s="191"/>
      <c r="M4" s="167"/>
      <c r="N4" s="198" t="s">
        <v>247</v>
      </c>
      <c r="O4" s="186" t="s">
        <v>136</v>
      </c>
      <c r="P4" s="186" t="s">
        <v>135</v>
      </c>
      <c r="Q4" s="190" t="s">
        <v>242</v>
      </c>
      <c r="R4" s="191"/>
    </row>
    <row r="5" spans="1:18" ht="82.5" customHeight="1">
      <c r="A5" s="172"/>
      <c r="B5" s="173"/>
      <c r="C5" s="174"/>
      <c r="D5" s="150" t="s">
        <v>209</v>
      </c>
      <c r="E5" s="158" t="s">
        <v>237</v>
      </c>
      <c r="F5" s="181"/>
      <c r="G5" s="183"/>
      <c r="H5" s="185"/>
      <c r="I5" s="187"/>
      <c r="J5" s="189"/>
      <c r="K5" s="192"/>
      <c r="L5" s="193"/>
      <c r="M5" s="151" t="s">
        <v>241</v>
      </c>
      <c r="N5" s="199"/>
      <c r="O5" s="187"/>
      <c r="P5" s="187"/>
      <c r="Q5" s="192"/>
      <c r="R5" s="193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233266.53</v>
      </c>
      <c r="F8" s="22">
        <f>F10+F19+F33+F56+F68+F30</f>
        <v>226419.02000000002</v>
      </c>
      <c r="G8" s="22">
        <f aca="true" t="shared" si="0" ref="G8:G30">F8-E8</f>
        <v>-6847.50999999998</v>
      </c>
      <c r="H8" s="51">
        <f>F8/E8*100</f>
        <v>97.06451242705073</v>
      </c>
      <c r="I8" s="36">
        <f aca="true" t="shared" si="1" ref="I8:I17">F8-D8</f>
        <v>-262057.27999999997</v>
      </c>
      <c r="J8" s="36">
        <f aca="true" t="shared" si="2" ref="J8:J14">F8/D8*100</f>
        <v>46.35209937513857</v>
      </c>
      <c r="K8" s="36">
        <f>F8-227938.8</f>
        <v>-1519.7799999999697</v>
      </c>
      <c r="L8" s="136">
        <f>F8/227938.8</f>
        <v>0.9933325085505409</v>
      </c>
      <c r="M8" s="22">
        <f>M10+M19+M33+M56+M68+M30</f>
        <v>41595.47</v>
      </c>
      <c r="N8" s="22">
        <f>N10+N19+N33+N56+N68+N30</f>
        <v>41613.82000000001</v>
      </c>
      <c r="O8" s="36">
        <f aca="true" t="shared" si="3" ref="O8:O71">N8-M8</f>
        <v>18.35000000000582</v>
      </c>
      <c r="P8" s="36">
        <f>F8/M8*100</f>
        <v>544.3357654090698</v>
      </c>
      <c r="Q8" s="36">
        <f>N8-40804</f>
        <v>809.820000000007</v>
      </c>
      <c r="R8" s="134">
        <f>N8/40804</f>
        <v>1.019846583668268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182998.13</v>
      </c>
      <c r="G9" s="22">
        <f t="shared" si="0"/>
        <v>182998.13</v>
      </c>
      <c r="H9" s="20"/>
      <c r="I9" s="56">
        <f t="shared" si="1"/>
        <v>-204015.07</v>
      </c>
      <c r="J9" s="56">
        <f t="shared" si="2"/>
        <v>47.284725688942906</v>
      </c>
      <c r="K9" s="56"/>
      <c r="L9" s="135"/>
      <c r="M9" s="20">
        <f>M10+M17</f>
        <v>34434.5</v>
      </c>
      <c r="N9" s="20">
        <f>N10+N17</f>
        <v>34237.98000000001</v>
      </c>
      <c r="O9" s="36">
        <f t="shared" si="3"/>
        <v>-196.51999999998952</v>
      </c>
      <c r="P9" s="56">
        <f>F9/M9*100</f>
        <v>531.4383249357477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190546.3</v>
      </c>
      <c r="F10" s="40">
        <v>182998.13</v>
      </c>
      <c r="G10" s="49">
        <f t="shared" si="0"/>
        <v>-7548.169999999984</v>
      </c>
      <c r="H10" s="40">
        <f aca="true" t="shared" si="4" ref="H10:H17">F10/E10*100</f>
        <v>96.0386688169752</v>
      </c>
      <c r="I10" s="56">
        <f t="shared" si="1"/>
        <v>-204015.07</v>
      </c>
      <c r="J10" s="56">
        <f t="shared" si="2"/>
        <v>47.284725688942906</v>
      </c>
      <c r="K10" s="141">
        <f>F10-179133.7</f>
        <v>3864.429999999993</v>
      </c>
      <c r="L10" s="142">
        <f>F10/179133.7</f>
        <v>1.021572881038018</v>
      </c>
      <c r="M10" s="40">
        <f>E10-травень!E10</f>
        <v>34434.5</v>
      </c>
      <c r="N10" s="40">
        <f>F10-травень!F10</f>
        <v>34237.98000000001</v>
      </c>
      <c r="O10" s="53">
        <f t="shared" si="3"/>
        <v>-196.51999999998952</v>
      </c>
      <c r="P10" s="56">
        <f aca="true" t="shared" si="5" ref="P10:P17">N10/M10*100</f>
        <v>99.42929329596774</v>
      </c>
      <c r="Q10" s="141">
        <f>N10-33294.7</f>
        <v>943.2800000000134</v>
      </c>
      <c r="R10" s="142">
        <f>N10/33294.7</f>
        <v>1.0283312359024113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E11-травень!E11</f>
        <v>0</v>
      </c>
      <c r="N11" s="40">
        <f>F11-травень!F11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E12-травень!E12</f>
        <v>0</v>
      </c>
      <c r="N12" s="40">
        <f>F12-травень!F12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E13-травень!E13</f>
        <v>0</v>
      </c>
      <c r="N13" s="40">
        <f>F13-травень!F13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E14-травень!E14</f>
        <v>0</v>
      </c>
      <c r="N14" s="40">
        <f>F14-травень!F14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E15-травень!E15</f>
        <v>0</v>
      </c>
      <c r="N15" s="40">
        <f>F15-травень!F15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E16-травень!E16</f>
        <v>0</v>
      </c>
      <c r="N16" s="40">
        <f>F16-травень!F16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E17-травень!E17</f>
        <v>0</v>
      </c>
      <c r="N17" s="40">
        <f>F17-травень!F17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E18-травень!E18</f>
        <v>0</v>
      </c>
      <c r="N18" s="40">
        <f>F18-травень!F18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1022.6</v>
      </c>
      <c r="F19" s="40">
        <v>317.87</v>
      </c>
      <c r="G19" s="49">
        <f t="shared" si="0"/>
        <v>-704.73</v>
      </c>
      <c r="H19" s="40">
        <f aca="true" t="shared" si="6" ref="H19:H29">F19/E19*100</f>
        <v>31.084490514375123</v>
      </c>
      <c r="I19" s="56">
        <f aca="true" t="shared" si="7" ref="I19:I29">F19-D19</f>
        <v>-682.13</v>
      </c>
      <c r="J19" s="56">
        <f aca="true" t="shared" si="8" ref="J19:J29">F19/D19*100</f>
        <v>31.787</v>
      </c>
      <c r="K19" s="56">
        <f>F19-5620.4</f>
        <v>-5302.53</v>
      </c>
      <c r="L19" s="135">
        <f>F19/5620.4</f>
        <v>0.05655647284890756</v>
      </c>
      <c r="M19" s="40">
        <f>E19-травень!E19</f>
        <v>11</v>
      </c>
      <c r="N19" s="40">
        <f>F19-травень!F19</f>
        <v>-327.51</v>
      </c>
      <c r="O19" s="53">
        <f t="shared" si="3"/>
        <v>-338.51</v>
      </c>
      <c r="P19" s="56">
        <f aca="true" t="shared" si="9" ref="P19:P29">N19/M19*100</f>
        <v>-2977.3636363636365</v>
      </c>
      <c r="Q19" s="56">
        <f>N19-465.3</f>
        <v>-792.81</v>
      </c>
      <c r="R19" s="135">
        <f>N19/465.3</f>
        <v>-0.7038684719535783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E20-травень!E20</f>
        <v>0</v>
      </c>
      <c r="N20" s="40">
        <f>F20-травень!F20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E21-травень!E21</f>
        <v>0</v>
      </c>
      <c r="N21" s="40">
        <f>F21-травень!F21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E22-травень!E22</f>
        <v>0</v>
      </c>
      <c r="N22" s="40">
        <f>F22-травень!F22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E23-травень!E23</f>
        <v>0</v>
      </c>
      <c r="N23" s="40">
        <f>F23-травень!F23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E24-травень!E24</f>
        <v>0</v>
      </c>
      <c r="N24" s="40">
        <f>F24-травень!F24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E25-травень!E25</f>
        <v>0</v>
      </c>
      <c r="N25" s="40">
        <f>F25-травень!F25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E26-травень!E26</f>
        <v>0</v>
      </c>
      <c r="N26" s="40">
        <f>F26-травень!F26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E27-травень!E27</f>
        <v>0</v>
      </c>
      <c r="N27" s="40">
        <f>F27-травень!F27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E28-травень!E28</f>
        <v>0</v>
      </c>
      <c r="N28" s="40">
        <f>F28-травень!F28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762.6</v>
      </c>
      <c r="F29" s="146">
        <v>828.15</v>
      </c>
      <c r="G29" s="49">
        <f t="shared" si="0"/>
        <v>65.54999999999995</v>
      </c>
      <c r="H29" s="40">
        <f t="shared" si="6"/>
        <v>108.59559402045633</v>
      </c>
      <c r="I29" s="56">
        <f t="shared" si="7"/>
        <v>-101.85000000000002</v>
      </c>
      <c r="J29" s="56">
        <f t="shared" si="8"/>
        <v>89.04838709677419</v>
      </c>
      <c r="K29" s="148">
        <f>F29-2001.3</f>
        <v>-1173.15</v>
      </c>
      <c r="L29" s="149">
        <f>F29/2001.3</f>
        <v>0.413806026083046</v>
      </c>
      <c r="M29" s="146">
        <f>E29-травень!E29</f>
        <v>11</v>
      </c>
      <c r="N29" s="40">
        <f>F29-травень!F29</f>
        <v>22.49000000000001</v>
      </c>
      <c r="O29" s="148">
        <f t="shared" si="3"/>
        <v>11.490000000000009</v>
      </c>
      <c r="P29" s="145">
        <f t="shared" si="9"/>
        <v>204.45454545454552</v>
      </c>
      <c r="Q29" s="148">
        <f>N29-403.3</f>
        <v>-380.81</v>
      </c>
      <c r="R29" s="149">
        <f>N29/403.3</f>
        <v>0.05576493925117781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E30-травень!E30</f>
        <v>0</v>
      </c>
      <c r="N30" s="40">
        <f>F30-травень!F30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E31-травень!E31</f>
        <v>0</v>
      </c>
      <c r="N31" s="40">
        <f>F31-травень!F31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E32-травень!E32</f>
        <v>0</v>
      </c>
      <c r="N32" s="40">
        <f>F32-травень!F32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38281.23</v>
      </c>
      <c r="F33" s="40">
        <v>39833.06</v>
      </c>
      <c r="G33" s="49">
        <f aca="true" t="shared" si="14" ref="G33:G72">F33-E33</f>
        <v>1551.8299999999945</v>
      </c>
      <c r="H33" s="40">
        <f aca="true" t="shared" si="15" ref="H33:H67">F33/E33*100</f>
        <v>104.05376211788386</v>
      </c>
      <c r="I33" s="56">
        <f>F33-D33</f>
        <v>-53732.94</v>
      </c>
      <c r="J33" s="56">
        <f aca="true" t="shared" si="16" ref="J33:J72">F33/D33*100</f>
        <v>42.57215227753671</v>
      </c>
      <c r="K33" s="141">
        <f>F33-39969.9</f>
        <v>-136.84000000000378</v>
      </c>
      <c r="L33" s="142">
        <f>F33/39969.9</f>
        <v>0.9965764237588784</v>
      </c>
      <c r="M33" s="40">
        <f>E33-травень!E33</f>
        <v>6540.770000000004</v>
      </c>
      <c r="N33" s="40">
        <f>F33-травень!F33</f>
        <v>7128.549999999999</v>
      </c>
      <c r="O33" s="53">
        <f t="shared" si="3"/>
        <v>587.7799999999952</v>
      </c>
      <c r="P33" s="56">
        <f aca="true" t="shared" si="17" ref="P33:P67">N33/M33*100</f>
        <v>108.98640374145543</v>
      </c>
      <c r="Q33" s="141">
        <f>N33-6504.1</f>
        <v>624.4499999999989</v>
      </c>
      <c r="R33" s="142">
        <f>N33/6504.1</f>
        <v>1.0960086714533908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E34-травень!E34</f>
        <v>0</v>
      </c>
      <c r="N34" s="40">
        <f>F34-травень!F34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E35-травень!E35</f>
        <v>0</v>
      </c>
      <c r="N35" s="40">
        <f>F35-травень!F35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E36-травень!E36</f>
        <v>0</v>
      </c>
      <c r="N36" s="40">
        <f>F36-травень!F36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E37-травень!E37</f>
        <v>0</v>
      </c>
      <c r="N37" s="40">
        <f>F37-травень!F37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E38-травень!E38</f>
        <v>0</v>
      </c>
      <c r="N38" s="40">
        <f>F38-травень!F38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E39-травень!E39</f>
        <v>0</v>
      </c>
      <c r="N39" s="40">
        <f>F39-травень!F39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E40-травень!E40</f>
        <v>0</v>
      </c>
      <c r="N40" s="40">
        <f>F40-травень!F40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E41-травень!E41</f>
        <v>0</v>
      </c>
      <c r="N41" s="40">
        <f>F41-травень!F41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E42-травень!E42</f>
        <v>0</v>
      </c>
      <c r="N42" s="40">
        <f>F42-травень!F42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E43-травень!E43</f>
        <v>0</v>
      </c>
      <c r="N43" s="40">
        <f>F43-травень!F43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E44-травень!E44</f>
        <v>0</v>
      </c>
      <c r="N44" s="40">
        <f>F44-травень!F44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E45-травень!E45</f>
        <v>0</v>
      </c>
      <c r="N45" s="40">
        <f>F45-травень!F45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E46-травень!E46</f>
        <v>0</v>
      </c>
      <c r="N46" s="40">
        <f>F46-травень!F46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E47-травень!E47</f>
        <v>0</v>
      </c>
      <c r="N47" s="40">
        <f>F47-травень!F47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E48-травень!E48</f>
        <v>0</v>
      </c>
      <c r="N48" s="40">
        <f>F48-травень!F48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E49-травень!E49</f>
        <v>0</v>
      </c>
      <c r="N49" s="40">
        <f>F49-травень!F49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E50-травень!E50</f>
        <v>0</v>
      </c>
      <c r="N50" s="40">
        <f>F50-травень!F50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E51-травень!E51</f>
        <v>0</v>
      </c>
      <c r="N51" s="40">
        <f>F51-травень!F51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E52-травень!E52</f>
        <v>0</v>
      </c>
      <c r="N52" s="40">
        <f>F52-травень!F52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E53-травень!E53</f>
        <v>0</v>
      </c>
      <c r="N53" s="40">
        <f>F53-травень!F53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E54-травень!E54</f>
        <v>0</v>
      </c>
      <c r="N54" s="40">
        <f>F54-травень!F54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28330.93</v>
      </c>
      <c r="F55" s="146">
        <v>29766.59</v>
      </c>
      <c r="G55" s="144">
        <f t="shared" si="14"/>
        <v>1435.6599999999999</v>
      </c>
      <c r="H55" s="146">
        <f t="shared" si="15"/>
        <v>105.0674651343955</v>
      </c>
      <c r="I55" s="145">
        <f t="shared" si="18"/>
        <v>-40499.41</v>
      </c>
      <c r="J55" s="145">
        <f t="shared" si="16"/>
        <v>42.36272165770074</v>
      </c>
      <c r="K55" s="148">
        <f>F55-28815.15</f>
        <v>951.4399999999987</v>
      </c>
      <c r="L55" s="149">
        <f>F55/28815.15</f>
        <v>1.0330187418771029</v>
      </c>
      <c r="M55" s="146">
        <f>E55-травень!E55</f>
        <v>4780.77</v>
      </c>
      <c r="N55" s="40">
        <f>F55-травень!F55</f>
        <v>5228.41</v>
      </c>
      <c r="O55" s="148">
        <f t="shared" si="3"/>
        <v>447.6399999999994</v>
      </c>
      <c r="P55" s="148">
        <f t="shared" si="17"/>
        <v>109.36334523518177</v>
      </c>
      <c r="Q55" s="163">
        <f>N55-4583</f>
        <v>645.4099999999999</v>
      </c>
      <c r="R55" s="164">
        <f>N55/4583</f>
        <v>1.1408269692341262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3398.3</v>
      </c>
      <c r="F56" s="40">
        <f>0.36+3265.71</f>
        <v>3266.07</v>
      </c>
      <c r="G56" s="49">
        <f t="shared" si="14"/>
        <v>-132.23000000000002</v>
      </c>
      <c r="H56" s="40">
        <f t="shared" si="15"/>
        <v>96.10893682135185</v>
      </c>
      <c r="I56" s="56">
        <f t="shared" si="18"/>
        <v>-3593.93</v>
      </c>
      <c r="J56" s="56">
        <f t="shared" si="16"/>
        <v>47.61034985422741</v>
      </c>
      <c r="K56" s="56">
        <f>F56-3189.3</f>
        <v>76.76999999999998</v>
      </c>
      <c r="L56" s="135">
        <f>F56/3189.3</f>
        <v>1.0240711127833695</v>
      </c>
      <c r="M56" s="40">
        <f>E56-травень!E56</f>
        <v>609.2000000000003</v>
      </c>
      <c r="N56" s="40">
        <f>F56-травень!F56</f>
        <v>574.75</v>
      </c>
      <c r="O56" s="53">
        <f t="shared" si="3"/>
        <v>-34.45000000000027</v>
      </c>
      <c r="P56" s="56">
        <f t="shared" si="17"/>
        <v>94.34504267892314</v>
      </c>
      <c r="Q56" s="56">
        <f>N56-539.8</f>
        <v>34.950000000000045</v>
      </c>
      <c r="R56" s="135">
        <f>N56/539.8</f>
        <v>1.0647462022971472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E57-травень!E57</f>
        <v>0</v>
      </c>
      <c r="N57" s="40">
        <f>F57-травень!F57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E58-травень!E58</f>
        <v>0</v>
      </c>
      <c r="N58" s="40">
        <f>F58-травень!F58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E59-травень!E59</f>
        <v>0</v>
      </c>
      <c r="N59" s="40">
        <f>F59-травень!F59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E60-травень!E60</f>
        <v>0</v>
      </c>
      <c r="N60" s="40">
        <f>F60-травень!F60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E61-травень!E61</f>
        <v>0</v>
      </c>
      <c r="N61" s="40">
        <f>F61-травень!F61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E62-травень!E62</f>
        <v>0</v>
      </c>
      <c r="N62" s="40">
        <f>F62-травень!F62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E63-травень!E63</f>
        <v>0</v>
      </c>
      <c r="N63" s="40">
        <f>F63-травень!F63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E64-травень!E64</f>
        <v>0</v>
      </c>
      <c r="N64" s="40">
        <f>F64-травень!F64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E65-травень!E65</f>
        <v>0</v>
      </c>
      <c r="N65" s="40">
        <f>F65-травень!F65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E66-травень!E66</f>
        <v>0</v>
      </c>
      <c r="N66" s="40">
        <f>F66-травень!F66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E67-травень!E67</f>
        <v>0</v>
      </c>
      <c r="N67" s="40">
        <f>F67-травень!F67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0.98</v>
      </c>
      <c r="G68" s="49">
        <f t="shared" si="14"/>
        <v>0.88</v>
      </c>
      <c r="H68" s="40"/>
      <c r="I68" s="56">
        <f t="shared" si="18"/>
        <v>0.88</v>
      </c>
      <c r="J68" s="56">
        <f t="shared" si="16"/>
        <v>979.9999999999999</v>
      </c>
      <c r="K68" s="56">
        <f>F68-0.4</f>
        <v>0.58</v>
      </c>
      <c r="L68" s="135"/>
      <c r="M68" s="40">
        <f>E68-травень!E68</f>
        <v>0</v>
      </c>
      <c r="N68" s="40">
        <f>F68-травень!F68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7428.5</v>
      </c>
      <c r="F74" s="22">
        <f>F77+F86+F88+F89+F94+F95+F96+F97+F99+F104+F87+F103</f>
        <v>6341.579999999999</v>
      </c>
      <c r="G74" s="50">
        <f aca="true" t="shared" si="24" ref="G74:G92">F74-E74</f>
        <v>-1086.920000000001</v>
      </c>
      <c r="H74" s="51">
        <f aca="true" t="shared" si="25" ref="H74:H87">F74/E74*100</f>
        <v>85.36824392542235</v>
      </c>
      <c r="I74" s="36">
        <f aca="true" t="shared" si="26" ref="I74:I92">F74-D74</f>
        <v>-12016.720000000001</v>
      </c>
      <c r="J74" s="36">
        <f aca="true" t="shared" si="27" ref="J74:J92">F74/D74*100</f>
        <v>34.54339454088886</v>
      </c>
      <c r="K74" s="36">
        <f>F74-9149.2</f>
        <v>-2807.6200000000017</v>
      </c>
      <c r="L74" s="136">
        <f>F74/9149.2</f>
        <v>0.6931294539413281</v>
      </c>
      <c r="M74" s="22">
        <f>M77+M86+M88+M89+M94+M95+M96+M97+M99+M87+M104</f>
        <v>1500.5</v>
      </c>
      <c r="N74" s="22">
        <f>N77+N86+N88+N89+N94+N95+N96+N97+N99+N32+N104+N87+N103</f>
        <v>993.2899999999998</v>
      </c>
      <c r="O74" s="55">
        <f aca="true" t="shared" si="28" ref="O74:O92">N74-M74</f>
        <v>-507.21000000000015</v>
      </c>
      <c r="P74" s="36">
        <f>N74/M74*100</f>
        <v>66.19726757747416</v>
      </c>
      <c r="Q74" s="36">
        <f>N74-1610.7</f>
        <v>-617.4100000000002</v>
      </c>
      <c r="R74" s="136">
        <f>N74/1610.7</f>
        <v>0.6166821878686284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E77-травень!E77</f>
        <v>0</v>
      </c>
      <c r="N77" s="40">
        <f>F77-травень!F77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E78-травень!E78</f>
        <v>0</v>
      </c>
      <c r="N78" s="40">
        <f>F78-травень!F78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E79-травень!E79</f>
        <v>0</v>
      </c>
      <c r="N79" s="40">
        <f>F79-травень!F79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E80-травень!E80</f>
        <v>0</v>
      </c>
      <c r="N80" s="40">
        <f>F80-травень!F80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E81-травень!E81</f>
        <v>0</v>
      </c>
      <c r="N81" s="40">
        <f>F81-травень!F81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E82-травень!E82</f>
        <v>0</v>
      </c>
      <c r="N82" s="40">
        <f>F82-травень!F82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E83-травень!E83</f>
        <v>0</v>
      </c>
      <c r="N83" s="40">
        <f>F83-травень!F83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E84-травень!E84</f>
        <v>0</v>
      </c>
      <c r="N84" s="40">
        <f>F84-травень!F84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E85-травень!E85</f>
        <v>0</v>
      </c>
      <c r="N85" s="40">
        <f>F85-травень!F85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1160</v>
      </c>
      <c r="F86" s="57">
        <v>0</v>
      </c>
      <c r="G86" s="49">
        <f t="shared" si="24"/>
        <v>-1160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F86-1184.7</f>
        <v>-1184.7</v>
      </c>
      <c r="L86" s="135">
        <f>F86/1184.7</f>
        <v>0</v>
      </c>
      <c r="M86" s="40">
        <f>E86-травень!E86</f>
        <v>480</v>
      </c>
      <c r="N86" s="40">
        <f>F86-травень!F86</f>
        <v>0</v>
      </c>
      <c r="O86" s="53">
        <f t="shared" si="28"/>
        <v>-480</v>
      </c>
      <c r="P86" s="56">
        <f t="shared" si="29"/>
        <v>0</v>
      </c>
      <c r="Q86" s="56">
        <f>N86-492.1</f>
        <v>-492.1</v>
      </c>
      <c r="R86" s="135">
        <f>N86/492.1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E87-травень!E87</f>
        <v>0</v>
      </c>
      <c r="N87" s="40">
        <f>F87-травень!F87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</v>
      </c>
      <c r="F88" s="57">
        <v>5.6</v>
      </c>
      <c r="G88" s="49">
        <f t="shared" si="24"/>
        <v>3.5999999999999996</v>
      </c>
      <c r="H88" s="40">
        <f>F88/E88*100</f>
        <v>280</v>
      </c>
      <c r="I88" s="56">
        <f t="shared" si="26"/>
        <v>0.5</v>
      </c>
      <c r="J88" s="56">
        <f t="shared" si="27"/>
        <v>109.80392156862746</v>
      </c>
      <c r="K88" s="56">
        <f>F88-0.1</f>
        <v>5.5</v>
      </c>
      <c r="L88" s="135"/>
      <c r="M88" s="40">
        <f>E88-травень!E88</f>
        <v>0.5</v>
      </c>
      <c r="N88" s="40">
        <f>F88-травень!F88</f>
        <v>0.5199999999999996</v>
      </c>
      <c r="O88" s="53">
        <f t="shared" si="28"/>
        <v>0.019999999999999574</v>
      </c>
      <c r="P88" s="56">
        <f>N88/M88*100</f>
        <v>103.99999999999991</v>
      </c>
      <c r="Q88" s="56">
        <f>N88-0</f>
        <v>0.5199999999999996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84</v>
      </c>
      <c r="F89" s="57">
        <v>61.77</v>
      </c>
      <c r="G89" s="49">
        <f t="shared" si="24"/>
        <v>-22.229999999999997</v>
      </c>
      <c r="H89" s="40">
        <f>F89/E89*100</f>
        <v>73.53571428571429</v>
      </c>
      <c r="I89" s="56">
        <f t="shared" si="26"/>
        <v>-113.22999999999999</v>
      </c>
      <c r="J89" s="56">
        <f t="shared" si="27"/>
        <v>35.29714285714286</v>
      </c>
      <c r="K89" s="56">
        <f>F89-81.2</f>
        <v>-19.43</v>
      </c>
      <c r="L89" s="135">
        <f>F89/81.2</f>
        <v>0.7607142857142857</v>
      </c>
      <c r="M89" s="40">
        <f>E89-травень!E89</f>
        <v>15</v>
      </c>
      <c r="N89" s="40">
        <f>F89-травень!F89</f>
        <v>14.68</v>
      </c>
      <c r="O89" s="53">
        <f t="shared" si="28"/>
        <v>-0.3200000000000003</v>
      </c>
      <c r="P89" s="56">
        <f>N89/M89*100</f>
        <v>97.86666666666667</v>
      </c>
      <c r="Q89" s="56">
        <f>N89-7.8</f>
        <v>6.88</v>
      </c>
      <c r="R89" s="135">
        <f>N89/7.8</f>
        <v>1.882051282051282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E90-травень!E90</f>
        <v>0</v>
      </c>
      <c r="N90" s="40">
        <f>F90-травень!F90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E91-травень!E91</f>
        <v>0</v>
      </c>
      <c r="N91" s="40">
        <f>F91-травень!F91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E92-травень!E92</f>
        <v>0</v>
      </c>
      <c r="N92" s="40">
        <f>F92-травень!F92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E93-травень!E93</f>
        <v>0</v>
      </c>
      <c r="N93" s="40">
        <f>F93-травень!F93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E94-травень!E94</f>
        <v>0</v>
      </c>
      <c r="N94" s="40">
        <f>F94-травень!F94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3531.5</v>
      </c>
      <c r="F95" s="57">
        <v>3551.7</v>
      </c>
      <c r="G95" s="49">
        <f t="shared" si="31"/>
        <v>20.199999999999818</v>
      </c>
      <c r="H95" s="40">
        <f>F95/E95*100</f>
        <v>100.57199490301572</v>
      </c>
      <c r="I95" s="56">
        <f t="shared" si="32"/>
        <v>-3448.3</v>
      </c>
      <c r="J95" s="56">
        <f>F95/D95*100</f>
        <v>50.73857142857142</v>
      </c>
      <c r="K95" s="56">
        <f>F95-3630.2</f>
        <v>-78.5</v>
      </c>
      <c r="L95" s="135">
        <f>F95/3630.2</f>
        <v>0.978375847060768</v>
      </c>
      <c r="M95" s="40">
        <f>E95-травень!E95</f>
        <v>575</v>
      </c>
      <c r="N95" s="40">
        <f>F95-травень!F95</f>
        <v>589.54</v>
      </c>
      <c r="O95" s="53">
        <f t="shared" si="33"/>
        <v>14.539999999999964</v>
      </c>
      <c r="P95" s="56">
        <f>N95/M95*100</f>
        <v>102.52869565217391</v>
      </c>
      <c r="Q95" s="56">
        <f>N95-681.8</f>
        <v>-92.25999999999999</v>
      </c>
      <c r="R95" s="135">
        <f>N95/681.8</f>
        <v>0.8646817248459959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474.5</v>
      </c>
      <c r="F96" s="57">
        <v>415.33</v>
      </c>
      <c r="G96" s="49">
        <f t="shared" si="31"/>
        <v>-59.170000000000016</v>
      </c>
      <c r="H96" s="40">
        <f>F96/E96*100</f>
        <v>87.5300316122234</v>
      </c>
      <c r="I96" s="56">
        <f t="shared" si="32"/>
        <v>-784.6700000000001</v>
      </c>
      <c r="J96" s="56">
        <f>F96/D96*100</f>
        <v>34.61083333333333</v>
      </c>
      <c r="K96" s="56">
        <f>F96-463.2</f>
        <v>-47.870000000000005</v>
      </c>
      <c r="L96" s="135">
        <f>F96/463.2</f>
        <v>0.896653713298791</v>
      </c>
      <c r="M96" s="40">
        <f>E96-травень!E96</f>
        <v>100</v>
      </c>
      <c r="N96" s="40">
        <f>F96-травень!F96</f>
        <v>64.34999999999997</v>
      </c>
      <c r="O96" s="53">
        <f t="shared" si="33"/>
        <v>-35.650000000000034</v>
      </c>
      <c r="P96" s="56">
        <f>N96/M96*100</f>
        <v>64.34999999999997</v>
      </c>
      <c r="Q96" s="56">
        <f>N96-89.2</f>
        <v>-24.850000000000037</v>
      </c>
      <c r="R96" s="135">
        <f>N96/89.2</f>
        <v>0.7214125560538113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0.23</v>
      </c>
      <c r="G97" s="49">
        <f t="shared" si="31"/>
        <v>0.23</v>
      </c>
      <c r="H97" s="40"/>
      <c r="I97" s="56">
        <f t="shared" si="32"/>
        <v>-39.77</v>
      </c>
      <c r="J97" s="56"/>
      <c r="K97" s="56">
        <f>F97-16.2</f>
        <v>-15.969999999999999</v>
      </c>
      <c r="L97" s="135">
        <f>F97/16.2</f>
        <v>0.014197530864197533</v>
      </c>
      <c r="M97" s="40">
        <f>E97-травень!E97</f>
        <v>0</v>
      </c>
      <c r="N97" s="40">
        <f>F97-травень!F97</f>
        <v>0.23</v>
      </c>
      <c r="O97" s="53">
        <f t="shared" si="33"/>
        <v>0.23</v>
      </c>
      <c r="P97" s="56"/>
      <c r="Q97" s="56">
        <f>N97-0.9</f>
        <v>-0.67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E98-травень!E98</f>
        <v>0</v>
      </c>
      <c r="N98" s="40">
        <f>F98-травень!F98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1837</v>
      </c>
      <c r="F99" s="57">
        <f>1.36+1967.92</f>
        <v>1969.28</v>
      </c>
      <c r="G99" s="49">
        <f t="shared" si="31"/>
        <v>132.27999999999997</v>
      </c>
      <c r="H99" s="40">
        <f>F99/E99*100</f>
        <v>107.20087098530213</v>
      </c>
      <c r="I99" s="56">
        <f t="shared" si="32"/>
        <v>-2603.42</v>
      </c>
      <c r="J99" s="56">
        <f>F99/D99*100</f>
        <v>43.06602226255823</v>
      </c>
      <c r="K99" s="56">
        <f>F99-1991.7</f>
        <v>-22.420000000000073</v>
      </c>
      <c r="L99" s="135">
        <f>F99/1991.7</f>
        <v>0.9887432846312195</v>
      </c>
      <c r="M99" s="40">
        <f>E99-травень!E99</f>
        <v>330</v>
      </c>
      <c r="N99" s="40">
        <f>F99-травень!F99</f>
        <v>319.3499999999999</v>
      </c>
      <c r="O99" s="53">
        <f t="shared" si="33"/>
        <v>-10.650000000000091</v>
      </c>
      <c r="P99" s="56">
        <f>N99/M99*100</f>
        <v>96.77272727272724</v>
      </c>
      <c r="Q99" s="56">
        <f>N99-325.9</f>
        <v>-6.550000000000068</v>
      </c>
      <c r="R99" s="135">
        <f>N99/325.9</f>
        <v>0.9799018103712793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E100-травень!E100</f>
        <v>0</v>
      </c>
      <c r="N100" s="40">
        <f>F100-травень!F100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E101-травень!E101</f>
        <v>0</v>
      </c>
      <c r="N101" s="40">
        <f>F101-травень!F101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362.69</v>
      </c>
      <c r="G102" s="144"/>
      <c r="H102" s="146"/>
      <c r="I102" s="145"/>
      <c r="J102" s="145"/>
      <c r="K102" s="148">
        <f>F102-244.8</f>
        <v>117.88999999999999</v>
      </c>
      <c r="L102" s="149">
        <f>F102/244.8</f>
        <v>1.4815767973856209</v>
      </c>
      <c r="M102" s="40">
        <f>E102-травень!E102</f>
        <v>0</v>
      </c>
      <c r="N102" s="146">
        <f>F102-травень!F102</f>
        <v>72.70999999999998</v>
      </c>
      <c r="O102" s="53"/>
      <c r="P102" s="60"/>
      <c r="Q102" s="60">
        <f>N102-60.1</f>
        <v>12.609999999999978</v>
      </c>
      <c r="R102" s="138">
        <f>N102/60.1</f>
        <v>1.2098169717138099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4.62</v>
      </c>
      <c r="G103" s="144"/>
      <c r="H103" s="146"/>
      <c r="I103" s="145"/>
      <c r="J103" s="145"/>
      <c r="K103" s="148"/>
      <c r="L103" s="149"/>
      <c r="M103" s="40"/>
      <c r="N103" s="40">
        <f>F103</f>
        <v>4.62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-51.59</v>
      </c>
      <c r="K104" s="56">
        <f>F104-59.1</f>
        <v>-45.82</v>
      </c>
      <c r="L104" s="135">
        <f>F104/59.1</f>
        <v>0.22470389170896785</v>
      </c>
      <c r="M104" s="40">
        <f>E104-травень!E103</f>
        <v>0</v>
      </c>
      <c r="N104" s="40">
        <f>F104-травень!F103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15.2</v>
      </c>
      <c r="F105" s="57">
        <v>13.91</v>
      </c>
      <c r="G105" s="49">
        <f>F105-E105</f>
        <v>-1.2899999999999991</v>
      </c>
      <c r="H105" s="40">
        <f>F105/E105*100</f>
        <v>91.51315789473685</v>
      </c>
      <c r="I105" s="56">
        <f t="shared" si="34"/>
        <v>-31.09</v>
      </c>
      <c r="J105" s="56">
        <f aca="true" t="shared" si="36" ref="J105:J110">F105/D105*100</f>
        <v>30.91111111111111</v>
      </c>
      <c r="K105" s="56">
        <f>F105-13.4</f>
        <v>0.5099999999999998</v>
      </c>
      <c r="L105" s="135">
        <f>F105/13.4</f>
        <v>1.0380597014925372</v>
      </c>
      <c r="M105" s="40">
        <f>E105-травень!E104</f>
        <v>3</v>
      </c>
      <c r="N105" s="40">
        <f>F105-травень!F104</f>
        <v>2.24</v>
      </c>
      <c r="O105" s="53">
        <f t="shared" si="35"/>
        <v>-0.7599999999999998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E106-травень!E105</f>
        <v>0</v>
      </c>
      <c r="N106" s="40">
        <f>F106-травень!F105</f>
        <v>0.04</v>
      </c>
      <c r="O106" s="53">
        <f t="shared" si="35"/>
        <v>0.04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240710.23</v>
      </c>
      <c r="F107" s="22">
        <f>F8+F74+F105+F106</f>
        <v>232774.59</v>
      </c>
      <c r="G107" s="50">
        <f>F107-E107</f>
        <v>-7935.640000000014</v>
      </c>
      <c r="H107" s="51">
        <f>F107/E107*100</f>
        <v>96.70323940947586</v>
      </c>
      <c r="I107" s="36">
        <f t="shared" si="34"/>
        <v>-274105.01</v>
      </c>
      <c r="J107" s="36">
        <f t="shared" si="36"/>
        <v>45.923053521980364</v>
      </c>
      <c r="K107" s="36">
        <f>F107-237104</f>
        <v>-4329.4100000000035</v>
      </c>
      <c r="L107" s="136">
        <f>F107/237104</f>
        <v>0.9817404598825832</v>
      </c>
      <c r="M107" s="22">
        <f>M8+M74+M105+M106</f>
        <v>43098.97</v>
      </c>
      <c r="N107" s="22">
        <f>N8+N74+N105+N106</f>
        <v>42609.39000000001</v>
      </c>
      <c r="O107" s="55">
        <f t="shared" si="35"/>
        <v>-489.57999999999447</v>
      </c>
      <c r="P107" s="36">
        <f>N107/M107*100</f>
        <v>98.86405638000167</v>
      </c>
      <c r="Q107" s="36">
        <f>N107-42414.8</f>
        <v>194.59000000000378</v>
      </c>
      <c r="R107" s="136">
        <f>N107/42414.8</f>
        <v>1.004587785395664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191020.8</v>
      </c>
      <c r="F108" s="71">
        <f>F10-F18+F96</f>
        <v>183413.46</v>
      </c>
      <c r="G108" s="71">
        <f>G10-G18+G96</f>
        <v>-7607.339999999984</v>
      </c>
      <c r="H108" s="72">
        <f>F108/E108*100</f>
        <v>96.01753316916273</v>
      </c>
      <c r="I108" s="52">
        <f t="shared" si="34"/>
        <v>-204799.74000000002</v>
      </c>
      <c r="J108" s="52">
        <f t="shared" si="36"/>
        <v>47.245549610368734</v>
      </c>
      <c r="K108" s="52">
        <f>F108-179685.8</f>
        <v>3727.6600000000035</v>
      </c>
      <c r="L108" s="137">
        <f>F108/179685.8</f>
        <v>1.0207454345307199</v>
      </c>
      <c r="M108" s="71">
        <f>M10-M18+M96</f>
        <v>34534.5</v>
      </c>
      <c r="N108" s="71">
        <f>N10-N18+N96</f>
        <v>34302.33000000001</v>
      </c>
      <c r="O108" s="53">
        <f t="shared" si="35"/>
        <v>-232.16999999999098</v>
      </c>
      <c r="P108" s="52">
        <f>N108/M108*100</f>
        <v>99.32771576249839</v>
      </c>
      <c r="Q108" s="52">
        <f>N108-33396.9</f>
        <v>905.4300000000076</v>
      </c>
      <c r="R108" s="137">
        <f>N108/33396.9</f>
        <v>1.0271111989436148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49689.43000000002</v>
      </c>
      <c r="F109" s="71">
        <f>F107-F108</f>
        <v>49361.130000000005</v>
      </c>
      <c r="G109" s="62">
        <f>F109-E109</f>
        <v>-328.30000000001746</v>
      </c>
      <c r="H109" s="72">
        <f>F109/E109*100</f>
        <v>99.33929610381924</v>
      </c>
      <c r="I109" s="52">
        <f t="shared" si="34"/>
        <v>-69305.26999999996</v>
      </c>
      <c r="J109" s="52">
        <f t="shared" si="36"/>
        <v>41.59655134056482</v>
      </c>
      <c r="K109" s="52">
        <f>F109-57418.1</f>
        <v>-8056.969999999994</v>
      </c>
      <c r="L109" s="137">
        <f>F109/57418.1</f>
        <v>0.8596789165785703</v>
      </c>
      <c r="M109" s="71">
        <f>M107-M108</f>
        <v>8564.470000000001</v>
      </c>
      <c r="N109" s="71">
        <f>N107-N108</f>
        <v>8307.059999999998</v>
      </c>
      <c r="O109" s="53">
        <f t="shared" si="35"/>
        <v>-257.4100000000035</v>
      </c>
      <c r="P109" s="52">
        <f>N109/M109*100</f>
        <v>96.99444332223706</v>
      </c>
      <c r="Q109" s="52">
        <f>N109-9017.9</f>
        <v>-710.840000000002</v>
      </c>
      <c r="R109" s="137">
        <f>N109/9017.9</f>
        <v>0.9211745528338081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185650.9</v>
      </c>
      <c r="F110" s="71">
        <f>F108</f>
        <v>183413.46</v>
      </c>
      <c r="G110" s="111">
        <f>F110-E110</f>
        <v>-2237.4400000000023</v>
      </c>
      <c r="H110" s="72">
        <f>F110/E110*100</f>
        <v>98.794813275885</v>
      </c>
      <c r="I110" s="81">
        <f t="shared" si="34"/>
        <v>-204799.74000000002</v>
      </c>
      <c r="J110" s="52">
        <f t="shared" si="36"/>
        <v>47.245549610368734</v>
      </c>
      <c r="K110" s="52"/>
      <c r="L110" s="137"/>
      <c r="M110" s="72">
        <f>E110-травень!E109</f>
        <v>34534.5</v>
      </c>
      <c r="N110" s="71">
        <f>N108</f>
        <v>34302.33000000001</v>
      </c>
      <c r="O110" s="118">
        <f t="shared" si="35"/>
        <v>-232.16999999999098</v>
      </c>
      <c r="P110" s="52">
        <f>N110/M110*100</f>
        <v>99.32771576249839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245</v>
      </c>
      <c r="C112" s="93"/>
      <c r="D112" s="84"/>
      <c r="E112" s="111">
        <f>0-травень!G109</f>
        <v>2005.2699999999895</v>
      </c>
      <c r="F112" s="84">
        <v>0</v>
      </c>
      <c r="G112" s="62">
        <f>F112-E112</f>
        <v>-2005.2699999999895</v>
      </c>
      <c r="H112" s="72"/>
      <c r="I112" s="85"/>
      <c r="J112" s="52"/>
      <c r="K112" s="52"/>
      <c r="L112" s="137"/>
      <c r="M112" s="159">
        <f>E112</f>
        <v>2005.2699999999895</v>
      </c>
      <c r="N112" s="84">
        <v>0</v>
      </c>
      <c r="O112" s="118">
        <f>N112-M112</f>
        <v>-2005.2699999999895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F114-7.8</f>
        <v>-8.94</v>
      </c>
      <c r="L114" s="138">
        <f>F114/7.8</f>
        <v>-0.14615384615384613</v>
      </c>
      <c r="M114" s="40">
        <f>E114-травень!E113</f>
        <v>0</v>
      </c>
      <c r="N114" s="40">
        <f>F114-травень!F113</f>
        <v>0</v>
      </c>
      <c r="O114" s="53"/>
      <c r="P114" s="60"/>
      <c r="Q114" s="60">
        <f>N114-1.1</f>
        <v>-1.1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1697.1</v>
      </c>
      <c r="F115" s="32">
        <v>606.08</v>
      </c>
      <c r="G115" s="49">
        <f t="shared" si="37"/>
        <v>-1091.02</v>
      </c>
      <c r="H115" s="40">
        <f aca="true" t="shared" si="39" ref="H115:H126">F115/E115*100</f>
        <v>35.71268634729834</v>
      </c>
      <c r="I115" s="60">
        <f t="shared" si="38"/>
        <v>-3065.42</v>
      </c>
      <c r="J115" s="60">
        <f aca="true" t="shared" si="40" ref="J115:J121">F115/D115*100</f>
        <v>16.50769440283263</v>
      </c>
      <c r="K115" s="60">
        <f>F115-1891.5</f>
        <v>-1285.42</v>
      </c>
      <c r="L115" s="138">
        <f>F115/1891.5</f>
        <v>0.32042294475284167</v>
      </c>
      <c r="M115" s="40">
        <f>E115-травень!E114</f>
        <v>327.5</v>
      </c>
      <c r="N115" s="40">
        <f>F115-травень!F114</f>
        <v>106.32000000000005</v>
      </c>
      <c r="O115" s="53">
        <f aca="true" t="shared" si="41" ref="O115:O126">N115-M115</f>
        <v>-221.17999999999995</v>
      </c>
      <c r="P115" s="60">
        <f>N115/M115*100</f>
        <v>32.464122137404594</v>
      </c>
      <c r="Q115" s="60">
        <f>N115-276.6</f>
        <v>-170.27999999999997</v>
      </c>
      <c r="R115" s="138">
        <f>N115/276.6</f>
        <v>0.38438177874186563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134.5</v>
      </c>
      <c r="F116" s="32">
        <v>165.21</v>
      </c>
      <c r="G116" s="49">
        <f t="shared" si="37"/>
        <v>30.710000000000008</v>
      </c>
      <c r="H116" s="40">
        <f t="shared" si="39"/>
        <v>122.83271375464683</v>
      </c>
      <c r="I116" s="60">
        <f t="shared" si="38"/>
        <v>-102.89000000000001</v>
      </c>
      <c r="J116" s="60">
        <f t="shared" si="40"/>
        <v>61.622528907124206</v>
      </c>
      <c r="K116" s="60">
        <f>F116-131.2</f>
        <v>34.01000000000002</v>
      </c>
      <c r="L116" s="138">
        <f>F116/131.2</f>
        <v>1.25922256097561</v>
      </c>
      <c r="M116" s="40">
        <f>E116-травень!E115</f>
        <v>22</v>
      </c>
      <c r="N116" s="40">
        <f>F116-травень!F115</f>
        <v>45.67</v>
      </c>
      <c r="O116" s="53">
        <f t="shared" si="41"/>
        <v>23.67</v>
      </c>
      <c r="P116" s="60">
        <f>N116/M116*100</f>
        <v>207.59090909090912</v>
      </c>
      <c r="Q116" s="60">
        <f>N116-25.8</f>
        <v>19.87</v>
      </c>
      <c r="R116" s="138">
        <f>N116/25.8</f>
        <v>1.77015503875969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1831.6</v>
      </c>
      <c r="F117" s="38">
        <f>SUM(F114:F116)</f>
        <v>770.1500000000001</v>
      </c>
      <c r="G117" s="62">
        <f t="shared" si="37"/>
        <v>-1061.4499999999998</v>
      </c>
      <c r="H117" s="72">
        <f t="shared" si="39"/>
        <v>42.04793623061804</v>
      </c>
      <c r="I117" s="61">
        <f t="shared" si="38"/>
        <v>-3169.45</v>
      </c>
      <c r="J117" s="61">
        <f t="shared" si="40"/>
        <v>19.54893897857651</v>
      </c>
      <c r="K117" s="61">
        <f>F117-2030.5</f>
        <v>-1260.35</v>
      </c>
      <c r="L117" s="139">
        <f>F117/2030.5</f>
        <v>0.3792908150701798</v>
      </c>
      <c r="M117" s="62">
        <f>M115+M116+M114</f>
        <v>349.5</v>
      </c>
      <c r="N117" s="38">
        <f>SUM(N114:N116)</f>
        <v>151.99000000000007</v>
      </c>
      <c r="O117" s="61">
        <f t="shared" si="41"/>
        <v>-197.50999999999993</v>
      </c>
      <c r="P117" s="61">
        <f>N117/M117*100</f>
        <v>43.48783977110159</v>
      </c>
      <c r="Q117" s="61">
        <f>N117-303.5</f>
        <v>-151.50999999999993</v>
      </c>
      <c r="R117" s="139">
        <f>N117/303.5</f>
        <v>0.5007907742998354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109.5</v>
      </c>
      <c r="F119" s="33">
        <v>138.28</v>
      </c>
      <c r="G119" s="49">
        <f t="shared" si="37"/>
        <v>28.78</v>
      </c>
      <c r="H119" s="40">
        <f t="shared" si="39"/>
        <v>126.28310502283104</v>
      </c>
      <c r="I119" s="60">
        <f t="shared" si="38"/>
        <v>-128.92</v>
      </c>
      <c r="J119" s="60">
        <f t="shared" si="40"/>
        <v>51.75149700598802</v>
      </c>
      <c r="K119" s="60">
        <f>F119-95.9</f>
        <v>42.379999999999995</v>
      </c>
      <c r="L119" s="138">
        <f>F119/95.9</f>
        <v>1.4419186652763294</v>
      </c>
      <c r="M119" s="40">
        <f>E119-травень!E118</f>
        <v>3</v>
      </c>
      <c r="N119" s="40">
        <f>F119-травень!F118</f>
        <v>8.530000000000001</v>
      </c>
      <c r="O119" s="53">
        <f>N119-M119</f>
        <v>5.530000000000001</v>
      </c>
      <c r="P119" s="60">
        <f>N119/M119*100</f>
        <v>284.33333333333337</v>
      </c>
      <c r="Q119" s="60">
        <f>N119-7.4</f>
        <v>1.1300000000000008</v>
      </c>
      <c r="R119" s="138">
        <f>N119/7.4</f>
        <v>1.1527027027027028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34212.6</v>
      </c>
      <c r="F120" s="33">
        <v>38053.71</v>
      </c>
      <c r="G120" s="49">
        <f t="shared" si="37"/>
        <v>3841.1100000000006</v>
      </c>
      <c r="H120" s="40">
        <f t="shared" si="39"/>
        <v>111.22717946019887</v>
      </c>
      <c r="I120" s="53">
        <f t="shared" si="38"/>
        <v>-33922.280000000006</v>
      </c>
      <c r="J120" s="60">
        <f t="shared" si="40"/>
        <v>52.870005678282425</v>
      </c>
      <c r="K120" s="60">
        <f>F120-32510.8</f>
        <v>5542.91</v>
      </c>
      <c r="L120" s="138">
        <f>F120/32510.8</f>
        <v>1.1704944203157104</v>
      </c>
      <c r="M120" s="40">
        <f>E120-травень!E119</f>
        <v>2600</v>
      </c>
      <c r="N120" s="40">
        <f>F120-травень!F119</f>
        <v>2879.489999999998</v>
      </c>
      <c r="O120" s="53">
        <f t="shared" si="41"/>
        <v>279.48999999999796</v>
      </c>
      <c r="P120" s="60">
        <f aca="true" t="shared" si="42" ref="P120:P125">N120/M120*100</f>
        <v>110.7496153846153</v>
      </c>
      <c r="Q120" s="60">
        <v>2488.2</v>
      </c>
      <c r="R120" s="138">
        <f>N120/2488.2</f>
        <v>1.157258258982396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1667</v>
      </c>
      <c r="F121" s="33">
        <v>1658.94</v>
      </c>
      <c r="G121" s="49">
        <f t="shared" si="37"/>
        <v>-8.059999999999945</v>
      </c>
      <c r="H121" s="40">
        <f t="shared" si="39"/>
        <v>99.51649670065987</v>
      </c>
      <c r="I121" s="60">
        <f t="shared" si="38"/>
        <v>-8341.06</v>
      </c>
      <c r="J121" s="60">
        <f t="shared" si="40"/>
        <v>16.5894</v>
      </c>
      <c r="K121" s="60">
        <f>F121-624.6</f>
        <v>1034.3400000000001</v>
      </c>
      <c r="L121" s="138">
        <f>F121/624.6</f>
        <v>2.6560038424591736</v>
      </c>
      <c r="M121" s="40">
        <f>E121-травень!E120</f>
        <v>19</v>
      </c>
      <c r="N121" s="40">
        <f>F121-травень!F120</f>
        <v>47.00999999999999</v>
      </c>
      <c r="O121" s="53">
        <f t="shared" si="41"/>
        <v>28.00999999999999</v>
      </c>
      <c r="P121" s="60">
        <f t="shared" si="42"/>
        <v>247.4210526315789</v>
      </c>
      <c r="Q121" s="60">
        <f>N121-188.5</f>
        <v>-141.49</v>
      </c>
      <c r="R121" s="138">
        <f>N121/188.5</f>
        <v>0.24938992042440314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4822.6</v>
      </c>
      <c r="F122" s="33">
        <v>2117.13</v>
      </c>
      <c r="G122" s="49">
        <f t="shared" si="37"/>
        <v>-2705.4700000000003</v>
      </c>
      <c r="H122" s="40">
        <f t="shared" si="39"/>
        <v>43.900178327043506</v>
      </c>
      <c r="I122" s="60">
        <f t="shared" si="38"/>
        <v>-20960.87</v>
      </c>
      <c r="J122" s="60">
        <f>F122/D122*100</f>
        <v>9.17380188924517</v>
      </c>
      <c r="K122" s="60">
        <f>F122-13847.9</f>
        <v>-11730.77</v>
      </c>
      <c r="L122" s="138">
        <f>F122/13847.9</f>
        <v>0.15288455289249633</v>
      </c>
      <c r="M122" s="40">
        <f>E122-травень!E121</f>
        <v>1767.2000000000003</v>
      </c>
      <c r="N122" s="40">
        <f>F122-травень!F121</f>
        <v>46.38000000000011</v>
      </c>
      <c r="O122" s="53">
        <f t="shared" si="41"/>
        <v>-1720.8200000000002</v>
      </c>
      <c r="P122" s="60">
        <f t="shared" si="42"/>
        <v>2.6244907197827128</v>
      </c>
      <c r="Q122" s="60">
        <f>N122-6379.2</f>
        <v>-6332.82</v>
      </c>
      <c r="R122" s="138">
        <f>N122/6379.2</f>
        <v>0.0072705041384499795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862.45</v>
      </c>
      <c r="F123" s="33">
        <v>728.31</v>
      </c>
      <c r="G123" s="49">
        <f t="shared" si="37"/>
        <v>-134.1400000000001</v>
      </c>
      <c r="H123" s="40">
        <f t="shared" si="39"/>
        <v>84.4466345875123</v>
      </c>
      <c r="I123" s="60">
        <f t="shared" si="38"/>
        <v>-1271.69</v>
      </c>
      <c r="J123" s="60">
        <f>F123/D123*100</f>
        <v>36.415499999999994</v>
      </c>
      <c r="K123" s="60">
        <f>F123-1200</f>
        <v>-471.69000000000005</v>
      </c>
      <c r="L123" s="138">
        <f>F123/1200</f>
        <v>0.6069249999999999</v>
      </c>
      <c r="M123" s="40">
        <f>E123-травень!E122</f>
        <v>189.59000000000003</v>
      </c>
      <c r="N123" s="40">
        <f>F123-травень!F122</f>
        <v>27.519999999999982</v>
      </c>
      <c r="O123" s="53">
        <f t="shared" si="41"/>
        <v>-162.07000000000005</v>
      </c>
      <c r="P123" s="60">
        <f t="shared" si="42"/>
        <v>14.515533519700394</v>
      </c>
      <c r="Q123" s="60">
        <f>N123-0</f>
        <v>27.519999999999982</v>
      </c>
      <c r="R123" s="138" t="e">
        <f>N123/0</f>
        <v>#DIV/0!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41674.149999999994</v>
      </c>
      <c r="F124" s="38">
        <f>F120+F121+F122+F123+F119</f>
        <v>42696.369999999995</v>
      </c>
      <c r="G124" s="62">
        <f t="shared" si="37"/>
        <v>1022.2200000000012</v>
      </c>
      <c r="H124" s="72">
        <f t="shared" si="39"/>
        <v>102.45288746141192</v>
      </c>
      <c r="I124" s="61">
        <f t="shared" si="38"/>
        <v>-64624.82000000001</v>
      </c>
      <c r="J124" s="61">
        <f>F124/D124*100</f>
        <v>39.78372770559103</v>
      </c>
      <c r="K124" s="61">
        <f>F124-48279.1</f>
        <v>-5582.730000000003</v>
      </c>
      <c r="L124" s="139">
        <f>F124/48279.1</f>
        <v>0.8843654914859639</v>
      </c>
      <c r="M124" s="62">
        <f>M120+M121+M122+M123+M119</f>
        <v>4578.790000000001</v>
      </c>
      <c r="N124" s="62">
        <f>N120+N121+N122+N123+N119</f>
        <v>3008.9299999999985</v>
      </c>
      <c r="O124" s="61">
        <f t="shared" si="41"/>
        <v>-1569.8600000000024</v>
      </c>
      <c r="P124" s="61">
        <f t="shared" si="42"/>
        <v>65.71452283245132</v>
      </c>
      <c r="Q124" s="61">
        <f>N124-9063.3</f>
        <v>-6054.370000000001</v>
      </c>
      <c r="R124" s="139">
        <f>N124/9063.3</f>
        <v>0.33199055531649607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17.16</v>
      </c>
      <c r="F125" s="33">
        <v>14.17</v>
      </c>
      <c r="G125" s="49">
        <f t="shared" si="37"/>
        <v>-2.99</v>
      </c>
      <c r="H125" s="40">
        <f t="shared" si="39"/>
        <v>82.57575757575758</v>
      </c>
      <c r="I125" s="60">
        <f t="shared" si="38"/>
        <v>-29.33</v>
      </c>
      <c r="J125" s="60">
        <f>F125/D125*100</f>
        <v>32.57471264367816</v>
      </c>
      <c r="K125" s="60">
        <f>F125-100.8</f>
        <v>-86.63</v>
      </c>
      <c r="L125" s="138">
        <f>F125/100.8</f>
        <v>0.14057539682539683</v>
      </c>
      <c r="M125" s="40">
        <f>E125-травень!E124</f>
        <v>3</v>
      </c>
      <c r="N125" s="40">
        <f>F125-травень!F124</f>
        <v>3.459999999999999</v>
      </c>
      <c r="O125" s="53">
        <f t="shared" si="41"/>
        <v>0.4599999999999991</v>
      </c>
      <c r="P125" s="60">
        <f t="shared" si="42"/>
        <v>115.33333333333331</v>
      </c>
      <c r="Q125" s="60">
        <f>N125-1.6</f>
        <v>1.859999999999999</v>
      </c>
      <c r="R125" s="138">
        <f>N125/1.6</f>
        <v>2.162499999999999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E126-травень!E125</f>
        <v>0</v>
      </c>
      <c r="N126" s="40">
        <f>F126-травень!F125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17.76</v>
      </c>
      <c r="G127" s="49"/>
      <c r="H127" s="40"/>
      <c r="I127" s="63"/>
      <c r="J127" s="63"/>
      <c r="K127" s="53">
        <f>F127-8.4</f>
        <v>9.360000000000001</v>
      </c>
      <c r="L127" s="138">
        <f>F127/8.4</f>
        <v>2.1142857142857143</v>
      </c>
      <c r="M127" s="40">
        <f>E127-травень!E126</f>
        <v>0</v>
      </c>
      <c r="N127" s="40">
        <f>F127-травень!F126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5012.5</v>
      </c>
      <c r="F128" s="33">
        <v>5295.56</v>
      </c>
      <c r="G128" s="49">
        <f aca="true" t="shared" si="43" ref="G128:G135">F128-E128</f>
        <v>283.0600000000004</v>
      </c>
      <c r="H128" s="40">
        <f>F128/E128*100</f>
        <v>105.64708229426434</v>
      </c>
      <c r="I128" s="60">
        <f aca="true" t="shared" si="44" ref="I128:I135">F128-D128</f>
        <v>-3404.4399999999996</v>
      </c>
      <c r="J128" s="60">
        <f>F128/D128*100</f>
        <v>60.86850574712644</v>
      </c>
      <c r="K128" s="60">
        <f>F128-6301.4</f>
        <v>-1005.8399999999992</v>
      </c>
      <c r="L128" s="138">
        <f>F128/6301.4</f>
        <v>0.840378328625385</v>
      </c>
      <c r="M128" s="40">
        <f>E128-травень!E127</f>
        <v>1</v>
      </c>
      <c r="N128" s="40">
        <f>F128-травень!F127</f>
        <v>2.7000000000007276</v>
      </c>
      <c r="O128" s="53">
        <f aca="true" t="shared" si="45" ref="O128:O135">N128-M128</f>
        <v>1.7000000000007276</v>
      </c>
      <c r="P128" s="60">
        <f>N128/M128*100</f>
        <v>270.00000000007276</v>
      </c>
      <c r="Q128" s="60">
        <f>N128-12.3</f>
        <v>-9.599999999999273</v>
      </c>
      <c r="R128" s="162">
        <f>N128/12.3</f>
        <v>0.21951219512201037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0.26</v>
      </c>
      <c r="G129" s="49">
        <f t="shared" si="43"/>
        <v>0.26</v>
      </c>
      <c r="H129" s="40"/>
      <c r="I129" s="60">
        <f t="shared" si="44"/>
        <v>0.26</v>
      </c>
      <c r="J129" s="60"/>
      <c r="K129" s="60">
        <f>F129-(-0.4)</f>
        <v>0.66</v>
      </c>
      <c r="L129" s="138">
        <f>F129/(-0.4)</f>
        <v>-0.65</v>
      </c>
      <c r="M129" s="40">
        <f>E129-травень!E128</f>
        <v>0</v>
      </c>
      <c r="N129" s="40">
        <f>F129-травень!F128</f>
        <v>0.22</v>
      </c>
      <c r="O129" s="53">
        <f t="shared" si="45"/>
        <v>0.22</v>
      </c>
      <c r="P129" s="60"/>
      <c r="Q129" s="60">
        <f>N129-0.1</f>
        <v>0.12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5036.86</v>
      </c>
      <c r="F130" s="38">
        <f>F128+F125+F129+F127</f>
        <v>5327.750000000001</v>
      </c>
      <c r="G130" s="62">
        <f t="shared" si="43"/>
        <v>290.89000000000124</v>
      </c>
      <c r="H130" s="72">
        <f>F130/E130*100</f>
        <v>105.77522504099778</v>
      </c>
      <c r="I130" s="61">
        <f t="shared" si="44"/>
        <v>-3422.95</v>
      </c>
      <c r="J130" s="61">
        <f>F130/D130*100</f>
        <v>60.883700732512835</v>
      </c>
      <c r="K130" s="61">
        <f>F130-6410.2</f>
        <v>-1082.449999999999</v>
      </c>
      <c r="L130" s="139">
        <f>G130/6410.2</f>
        <v>0.045379239337306365</v>
      </c>
      <c r="M130" s="62">
        <f>M125+M128+M129+M127</f>
        <v>4</v>
      </c>
      <c r="N130" s="62">
        <f>N125+N128+N129+N127</f>
        <v>6.380000000000726</v>
      </c>
      <c r="O130" s="61">
        <f t="shared" si="45"/>
        <v>2.3800000000007264</v>
      </c>
      <c r="P130" s="61">
        <f>N130/M130*100</f>
        <v>159.50000000001816</v>
      </c>
      <c r="Q130" s="61">
        <f>N130-14</f>
        <v>-7.619999999999274</v>
      </c>
      <c r="R130" s="137">
        <f>N130/14</f>
        <v>0.4557142857143376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15.65</v>
      </c>
      <c r="F131" s="33">
        <v>21.12</v>
      </c>
      <c r="G131" s="49">
        <f>F131-E131</f>
        <v>5.470000000000001</v>
      </c>
      <c r="H131" s="40">
        <f>F131/E131*100</f>
        <v>134.9520766773163</v>
      </c>
      <c r="I131" s="60">
        <f>F131-D131</f>
        <v>-8.879999999999999</v>
      </c>
      <c r="J131" s="60">
        <f>F131/D131*100</f>
        <v>70.4</v>
      </c>
      <c r="K131" s="60">
        <f>F131-16.8</f>
        <v>4.32</v>
      </c>
      <c r="L131" s="138">
        <f>F131/16.8</f>
        <v>1.2571428571428571</v>
      </c>
      <c r="M131" s="40">
        <f>E131-травень!E130</f>
        <v>7</v>
      </c>
      <c r="N131" s="40">
        <f>F131-травень!F130</f>
        <v>7.970000000000001</v>
      </c>
      <c r="O131" s="53">
        <f>N131-M131</f>
        <v>0.9700000000000006</v>
      </c>
      <c r="P131" s="60">
        <f>N131/M131*100</f>
        <v>113.85714285714286</v>
      </c>
      <c r="Q131" s="60">
        <f>N131-7.5</f>
        <v>0.47000000000000064</v>
      </c>
      <c r="R131" s="138">
        <f>N131/7.5</f>
        <v>1.0626666666666666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E132-травень!E131</f>
        <v>0</v>
      </c>
      <c r="N132" s="40">
        <f>F132-травень!F131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E133-травень!E132</f>
        <v>0</v>
      </c>
      <c r="N133" s="40">
        <f>F133-травень!F132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48558.259999999995</v>
      </c>
      <c r="F134" s="31">
        <f>F117+F131+F124+F130+F133+F132</f>
        <v>48815.38999999999</v>
      </c>
      <c r="G134" s="50">
        <f t="shared" si="43"/>
        <v>257.1299999999974</v>
      </c>
      <c r="H134" s="51">
        <f>F134/E134*100</f>
        <v>100.52952885873587</v>
      </c>
      <c r="I134" s="36">
        <f t="shared" si="44"/>
        <v>-71226.1</v>
      </c>
      <c r="J134" s="36">
        <f>F134/D134*100</f>
        <v>40.66543159369314</v>
      </c>
      <c r="K134" s="36">
        <f>F134-56736.6</f>
        <v>-7921.210000000006</v>
      </c>
      <c r="L134" s="136">
        <f>F134/56736.6</f>
        <v>0.860386240980249</v>
      </c>
      <c r="M134" s="31">
        <f>M117+M131+M124+M130+M133+M132</f>
        <v>4939.290000000001</v>
      </c>
      <c r="N134" s="31">
        <f>N117+N131+N124+N130+N133+N132</f>
        <v>3175.269999999999</v>
      </c>
      <c r="O134" s="36">
        <f t="shared" si="45"/>
        <v>-1764.0200000000018</v>
      </c>
      <c r="P134" s="36">
        <f>N134/M134*100</f>
        <v>64.2859601278726</v>
      </c>
      <c r="Q134" s="36">
        <f>N134-9388.2</f>
        <v>-6212.930000000002</v>
      </c>
      <c r="R134" s="136">
        <f>N134/9388.2</f>
        <v>0.33821925395709496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289268.49</v>
      </c>
      <c r="F135" s="31">
        <f>F107+F134</f>
        <v>281589.98</v>
      </c>
      <c r="G135" s="50">
        <f t="shared" si="43"/>
        <v>-7678.510000000009</v>
      </c>
      <c r="H135" s="51">
        <f>F135/E135*100</f>
        <v>97.34554219852981</v>
      </c>
      <c r="I135" s="36">
        <f t="shared" si="44"/>
        <v>-345331.11</v>
      </c>
      <c r="J135" s="36">
        <f>F135/D135*100</f>
        <v>44.9163354833062</v>
      </c>
      <c r="K135" s="36">
        <f>F135-293840.6</f>
        <v>-12250.619999999995</v>
      </c>
      <c r="L135" s="136">
        <f>F135/293840.6</f>
        <v>0.9583086203880608</v>
      </c>
      <c r="M135" s="22">
        <f>M107+M134</f>
        <v>48038.26</v>
      </c>
      <c r="N135" s="22">
        <f>N107+N134</f>
        <v>45784.66</v>
      </c>
      <c r="O135" s="36">
        <f t="shared" si="45"/>
        <v>-2253.5999999999985</v>
      </c>
      <c r="P135" s="36">
        <f>N135/M135*100</f>
        <v>95.30873932569581</v>
      </c>
      <c r="Q135" s="36">
        <f>N135-51803</f>
        <v>-6018.3399999999965</v>
      </c>
      <c r="R135" s="136">
        <f>N135/51803</f>
        <v>0.8838225585390808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94"/>
      <c r="H138" s="194"/>
      <c r="I138" s="194"/>
      <c r="J138" s="194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41817</v>
      </c>
      <c r="D139" s="39">
        <v>6214.2</v>
      </c>
      <c r="N139" s="195"/>
      <c r="O139" s="195"/>
    </row>
    <row r="140" spans="3:15" ht="15.75">
      <c r="C140" s="120">
        <v>41816</v>
      </c>
      <c r="D140" s="39">
        <v>4277.2</v>
      </c>
      <c r="F140" s="4" t="s">
        <v>166</v>
      </c>
      <c r="G140" s="196" t="s">
        <v>151</v>
      </c>
      <c r="H140" s="196"/>
      <c r="I140" s="115">
        <f>'[1]залишки  (2)'!$G$9/1000</f>
        <v>13825.22196</v>
      </c>
      <c r="J140" s="197" t="s">
        <v>161</v>
      </c>
      <c r="K140" s="197"/>
      <c r="L140" s="197"/>
      <c r="M140" s="197"/>
      <c r="N140" s="195"/>
      <c r="O140" s="195"/>
    </row>
    <row r="141" spans="3:15" ht="15.75">
      <c r="C141" s="120">
        <v>41815</v>
      </c>
      <c r="D141" s="39">
        <v>1877.7</v>
      </c>
      <c r="G141" s="200" t="s">
        <v>155</v>
      </c>
      <c r="H141" s="200"/>
      <c r="I141" s="112">
        <v>0</v>
      </c>
      <c r="J141" s="201" t="s">
        <v>162</v>
      </c>
      <c r="K141" s="201"/>
      <c r="L141" s="201"/>
      <c r="M141" s="201"/>
      <c r="N141" s="195"/>
      <c r="O141" s="195"/>
    </row>
    <row r="142" spans="7:13" ht="15.75" customHeight="1">
      <c r="G142" s="196" t="s">
        <v>148</v>
      </c>
      <c r="H142" s="196"/>
      <c r="I142" s="112">
        <f>'[1]залишки  (2)'!$G$8/1000</f>
        <v>0</v>
      </c>
      <c r="J142" s="197" t="s">
        <v>163</v>
      </c>
      <c r="K142" s="197"/>
      <c r="L142" s="197"/>
      <c r="M142" s="197"/>
    </row>
    <row r="143" spans="2:13" ht="18.75" customHeight="1">
      <c r="B143" s="202" t="s">
        <v>160</v>
      </c>
      <c r="C143" s="203"/>
      <c r="D143" s="117">
        <v>117976.29</v>
      </c>
      <c r="E143" s="80"/>
      <c r="F143" s="100" t="s">
        <v>147</v>
      </c>
      <c r="G143" s="196" t="s">
        <v>149</v>
      </c>
      <c r="H143" s="196"/>
      <c r="I143" s="116">
        <v>104151.07</v>
      </c>
      <c r="J143" s="197" t="s">
        <v>164</v>
      </c>
      <c r="K143" s="197"/>
      <c r="L143" s="197"/>
      <c r="M143" s="197"/>
    </row>
    <row r="144" spans="7:12" ht="9.75" customHeight="1">
      <c r="G144" s="204"/>
      <c r="H144" s="204"/>
      <c r="I144" s="98"/>
      <c r="J144" s="99"/>
      <c r="K144" s="99"/>
      <c r="L144" s="99"/>
    </row>
    <row r="145" spans="2:12" ht="22.5" customHeight="1">
      <c r="B145" s="205" t="s">
        <v>169</v>
      </c>
      <c r="C145" s="206"/>
      <c r="D145" s="119">
        <v>41386</v>
      </c>
      <c r="E145" s="77" t="s">
        <v>104</v>
      </c>
      <c r="G145" s="204"/>
      <c r="H145" s="204"/>
      <c r="I145" s="98"/>
      <c r="J145" s="99"/>
      <c r="K145" s="99"/>
      <c r="L145" s="99"/>
    </row>
    <row r="146" spans="4:15" ht="15.75">
      <c r="D146" s="114"/>
      <c r="N146" s="204"/>
      <c r="O146" s="204"/>
    </row>
    <row r="147" spans="4:15" ht="15.75">
      <c r="D147" s="113"/>
      <c r="I147" s="39"/>
      <c r="N147" s="207"/>
      <c r="O147" s="207"/>
    </row>
    <row r="148" spans="14:15" ht="15.75">
      <c r="N148" s="204"/>
      <c r="O148" s="20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22" right="0.18" top="0.31" bottom="0.38" header="0.26" footer="0.29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77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03" sqref="E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69" t="s">
        <v>235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26"/>
      <c r="R1" s="127"/>
    </row>
    <row r="2" spans="2:18" s="1" customFormat="1" ht="15.75" customHeight="1">
      <c r="B2" s="170"/>
      <c r="C2" s="170"/>
      <c r="D2" s="17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1"/>
      <c r="B3" s="173"/>
      <c r="C3" s="174" t="s">
        <v>0</v>
      </c>
      <c r="D3" s="175" t="s">
        <v>224</v>
      </c>
      <c r="E3" s="175"/>
      <c r="F3" s="176" t="s">
        <v>107</v>
      </c>
      <c r="G3" s="177"/>
      <c r="H3" s="177"/>
      <c r="I3" s="177"/>
      <c r="J3" s="177"/>
      <c r="K3" s="177"/>
      <c r="L3" s="178"/>
      <c r="M3" s="179" t="s">
        <v>225</v>
      </c>
      <c r="N3" s="168" t="s">
        <v>233</v>
      </c>
      <c r="O3" s="168"/>
      <c r="P3" s="168"/>
      <c r="Q3" s="168"/>
      <c r="R3" s="168"/>
    </row>
    <row r="4" spans="1:18" ht="22.5" customHeight="1">
      <c r="A4" s="171"/>
      <c r="B4" s="173"/>
      <c r="C4" s="174"/>
      <c r="D4" s="175"/>
      <c r="E4" s="175"/>
      <c r="F4" s="180" t="s">
        <v>116</v>
      </c>
      <c r="G4" s="182" t="s">
        <v>229</v>
      </c>
      <c r="H4" s="184" t="s">
        <v>230</v>
      </c>
      <c r="I4" s="186" t="s">
        <v>188</v>
      </c>
      <c r="J4" s="188" t="s">
        <v>189</v>
      </c>
      <c r="K4" s="190" t="s">
        <v>231</v>
      </c>
      <c r="L4" s="191"/>
      <c r="M4" s="167"/>
      <c r="N4" s="198" t="s">
        <v>236</v>
      </c>
      <c r="O4" s="186" t="s">
        <v>136</v>
      </c>
      <c r="P4" s="186" t="s">
        <v>135</v>
      </c>
      <c r="Q4" s="190" t="s">
        <v>234</v>
      </c>
      <c r="R4" s="191"/>
    </row>
    <row r="5" spans="1:18" ht="82.5" customHeight="1">
      <c r="A5" s="172"/>
      <c r="B5" s="173"/>
      <c r="C5" s="174"/>
      <c r="D5" s="150" t="s">
        <v>209</v>
      </c>
      <c r="E5" s="158" t="s">
        <v>228</v>
      </c>
      <c r="F5" s="181"/>
      <c r="G5" s="183"/>
      <c r="H5" s="185"/>
      <c r="I5" s="187"/>
      <c r="J5" s="189"/>
      <c r="K5" s="192"/>
      <c r="L5" s="193"/>
      <c r="M5" s="151" t="s">
        <v>232</v>
      </c>
      <c r="N5" s="199"/>
      <c r="O5" s="187"/>
      <c r="P5" s="187"/>
      <c r="Q5" s="192"/>
      <c r="R5" s="193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191671.06</v>
      </c>
      <c r="F8" s="22">
        <f>F10+F19+F33+F56+F68+F30</f>
        <v>184805.2</v>
      </c>
      <c r="G8" s="22">
        <f aca="true" t="shared" si="0" ref="G8:G30">F8-E8</f>
        <v>-6865.859999999986</v>
      </c>
      <c r="H8" s="51">
        <f>F8/E8*100</f>
        <v>96.41789428200586</v>
      </c>
      <c r="I8" s="36">
        <f aca="true" t="shared" si="1" ref="I8:I17">F8-D8</f>
        <v>-303671.1</v>
      </c>
      <c r="J8" s="36">
        <f aca="true" t="shared" si="2" ref="J8:J14">F8/D8*100</f>
        <v>37.83299210217569</v>
      </c>
      <c r="K8" s="36">
        <f>F8-187134.8</f>
        <v>-2329.5999999999767</v>
      </c>
      <c r="L8" s="136">
        <f>F8/187134.8</f>
        <v>0.9875512197624388</v>
      </c>
      <c r="M8" s="22">
        <f>M10+M19+M33+M56+M68+M30</f>
        <v>37449.96999999999</v>
      </c>
      <c r="N8" s="22">
        <f>N10+N19+N33+N56+N68+N30</f>
        <v>39043.44</v>
      </c>
      <c r="O8" s="36">
        <f aca="true" t="shared" si="3" ref="O8:O71">N8-M8</f>
        <v>1593.4700000000157</v>
      </c>
      <c r="P8" s="36">
        <f>F8/M8*100</f>
        <v>493.4722244103268</v>
      </c>
      <c r="Q8" s="36">
        <f>N8-36022.2</f>
        <v>3021.2400000000052</v>
      </c>
      <c r="R8" s="134">
        <f>N8/36022.2</f>
        <v>1.0838716125056216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148760.15</v>
      </c>
      <c r="G9" s="22">
        <f t="shared" si="0"/>
        <v>148760.15</v>
      </c>
      <c r="H9" s="20"/>
      <c r="I9" s="56">
        <f t="shared" si="1"/>
        <v>-238253.05000000002</v>
      </c>
      <c r="J9" s="56">
        <f t="shared" si="2"/>
        <v>38.43800418176951</v>
      </c>
      <c r="K9" s="56"/>
      <c r="L9" s="135"/>
      <c r="M9" s="20">
        <f>M10+M17</f>
        <v>30408.59999999999</v>
      </c>
      <c r="N9" s="20">
        <f>N10+N17</f>
        <v>31640</v>
      </c>
      <c r="O9" s="36">
        <f t="shared" si="3"/>
        <v>1231.4000000000087</v>
      </c>
      <c r="P9" s="56">
        <f>F9/M9*100</f>
        <v>489.20420538926504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156111.8</v>
      </c>
      <c r="F10" s="40">
        <v>148760.15</v>
      </c>
      <c r="G10" s="49">
        <f t="shared" si="0"/>
        <v>-7351.649999999994</v>
      </c>
      <c r="H10" s="40">
        <f aca="true" t="shared" si="4" ref="H10:H17">F10/E10*100</f>
        <v>95.29077878802244</v>
      </c>
      <c r="I10" s="56">
        <f t="shared" si="1"/>
        <v>-238253.05000000002</v>
      </c>
      <c r="J10" s="56">
        <f t="shared" si="2"/>
        <v>38.43800418176951</v>
      </c>
      <c r="K10" s="141">
        <f>F10-145839</f>
        <v>2921.149999999994</v>
      </c>
      <c r="L10" s="142">
        <f>F10/145839</f>
        <v>1.0200299645499489</v>
      </c>
      <c r="M10" s="40">
        <f>E10-квітень!E10</f>
        <v>30408.59999999999</v>
      </c>
      <c r="N10" s="40">
        <f>F10-квітень!F10</f>
        <v>31640</v>
      </c>
      <c r="O10" s="53">
        <f t="shared" si="3"/>
        <v>1231.4000000000087</v>
      </c>
      <c r="P10" s="56">
        <f aca="true" t="shared" si="5" ref="P10:P17">N10/M10*100</f>
        <v>104.04951230901787</v>
      </c>
      <c r="Q10" s="141">
        <f>N10-28567.7</f>
        <v>3072.2999999999993</v>
      </c>
      <c r="R10" s="142">
        <f>N10/28567.7</f>
        <v>1.1075445345617603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E11-квітень!E11</f>
        <v>0</v>
      </c>
      <c r="N11" s="40">
        <f>F11-квітень!F11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E12-квітень!E12</f>
        <v>0</v>
      </c>
      <c r="N12" s="40">
        <f>F12-квітень!F12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E13-квітень!E13</f>
        <v>0</v>
      </c>
      <c r="N13" s="40">
        <f>F13-квітень!F13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E14-квітень!E14</f>
        <v>0</v>
      </c>
      <c r="N14" s="40">
        <f>F14-квітень!F14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E15-квітень!E15</f>
        <v>0</v>
      </c>
      <c r="N15" s="40">
        <f>F15-квітень!F15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E16-квітень!E16</f>
        <v>0</v>
      </c>
      <c r="N16" s="40">
        <f>F16-квітень!F16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E17-квітень!E17</f>
        <v>0</v>
      </c>
      <c r="N17" s="40">
        <f>F17-квітень!F17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E18-квітень!E18</f>
        <v>0</v>
      </c>
      <c r="N18" s="40">
        <f>F18-квітень!F18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1011.6</v>
      </c>
      <c r="F19" s="40">
        <v>645.38</v>
      </c>
      <c r="G19" s="49">
        <f t="shared" si="0"/>
        <v>-366.22</v>
      </c>
      <c r="H19" s="40">
        <f aca="true" t="shared" si="6" ref="H19:H29">F19/E19*100</f>
        <v>63.79794385132463</v>
      </c>
      <c r="I19" s="56">
        <f aca="true" t="shared" si="7" ref="I19:I29">F19-D19</f>
        <v>-354.62</v>
      </c>
      <c r="J19" s="56">
        <f aca="true" t="shared" si="8" ref="J19:J29">F19/D19*100</f>
        <v>64.538</v>
      </c>
      <c r="K19" s="56">
        <f>F19-5155.1</f>
        <v>-4509.72</v>
      </c>
      <c r="L19" s="135">
        <f>F19/5155.1</f>
        <v>0.12519252778801573</v>
      </c>
      <c r="M19" s="40">
        <f>E19-квітень!E19</f>
        <v>12</v>
      </c>
      <c r="N19" s="40">
        <f>F19-квітень!F19</f>
        <v>92.46000000000004</v>
      </c>
      <c r="O19" s="53">
        <f t="shared" si="3"/>
        <v>80.46000000000004</v>
      </c>
      <c r="P19" s="56">
        <f aca="true" t="shared" si="9" ref="P19:P29">N19/M19*100</f>
        <v>770.5000000000002</v>
      </c>
      <c r="Q19" s="56">
        <f>N19-419.2</f>
        <v>-326.73999999999995</v>
      </c>
      <c r="R19" s="135">
        <f>N19/419.2</f>
        <v>0.22056297709923672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E20-квітень!E20</f>
        <v>0</v>
      </c>
      <c r="N20" s="40">
        <f>F20-квітень!F20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E21-квітень!E21</f>
        <v>0</v>
      </c>
      <c r="N21" s="40">
        <f>F21-квітень!F21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E22-квітень!E22</f>
        <v>0</v>
      </c>
      <c r="N22" s="40">
        <f>F22-квітень!F22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E23-квітень!E23</f>
        <v>0</v>
      </c>
      <c r="N23" s="40">
        <f>F23-квітень!F23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E24-квітень!E24</f>
        <v>0</v>
      </c>
      <c r="N24" s="40">
        <f>F24-квітень!F24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E25-квітень!E25</f>
        <v>0</v>
      </c>
      <c r="N25" s="40">
        <f>F25-квітень!F25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E26-квітень!E26</f>
        <v>0</v>
      </c>
      <c r="N26" s="40">
        <f>F26-квітень!F26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E27-квітень!E27</f>
        <v>0</v>
      </c>
      <c r="N27" s="40">
        <f>F27-квітень!F27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E28-квітень!E28</f>
        <v>0</v>
      </c>
      <c r="N28" s="40">
        <f>F28-квітень!F28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751.6</v>
      </c>
      <c r="F29" s="146">
        <v>805.66</v>
      </c>
      <c r="G29" s="49">
        <f t="shared" si="0"/>
        <v>54.059999999999945</v>
      </c>
      <c r="H29" s="40">
        <f t="shared" si="6"/>
        <v>107.19265566790845</v>
      </c>
      <c r="I29" s="56">
        <f t="shared" si="7"/>
        <v>-124.34000000000003</v>
      </c>
      <c r="J29" s="56">
        <f t="shared" si="8"/>
        <v>86.63010752688172</v>
      </c>
      <c r="K29" s="148">
        <f>F29-1598.01</f>
        <v>-792.35</v>
      </c>
      <c r="L29" s="149">
        <f>F29/1598.01</f>
        <v>0.5041645546648644</v>
      </c>
      <c r="M29" s="40">
        <f>E29-квітень!E29</f>
        <v>12</v>
      </c>
      <c r="N29" s="40">
        <f>F29-квітень!F29</f>
        <v>22.480000000000018</v>
      </c>
      <c r="O29" s="148">
        <f t="shared" si="3"/>
        <v>10.480000000000018</v>
      </c>
      <c r="P29" s="145">
        <f t="shared" si="9"/>
        <v>187.33333333333348</v>
      </c>
      <c r="Q29" s="148">
        <f>N29-428.5</f>
        <v>-406.02</v>
      </c>
      <c r="R29" s="149">
        <f>N29/428.5</f>
        <v>0.05246207701283551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E30-квітень!E30</f>
        <v>8.5</v>
      </c>
      <c r="N30" s="40">
        <f>F30-квітень!F30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E31-квітень!E31</f>
        <v>0</v>
      </c>
      <c r="N31" s="40">
        <f>F31-квітень!F31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E32-квітень!E32</f>
        <v>0</v>
      </c>
      <c r="N32" s="40">
        <f>F32-квітень!F32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31740.46</v>
      </c>
      <c r="F33" s="40">
        <v>32704.51</v>
      </c>
      <c r="G33" s="49">
        <f aca="true" t="shared" si="14" ref="G33:G72">F33-E33</f>
        <v>964.0499999999993</v>
      </c>
      <c r="H33" s="40">
        <f aca="true" t="shared" si="15" ref="H33:H67">F33/E33*100</f>
        <v>103.03729057486879</v>
      </c>
      <c r="I33" s="56">
        <f>F33-D33</f>
        <v>-60861.490000000005</v>
      </c>
      <c r="J33" s="56">
        <f aca="true" t="shared" si="16" ref="J33:J72">F33/D33*100</f>
        <v>34.95341256439305</v>
      </c>
      <c r="K33" s="141">
        <f>F33-33465.8</f>
        <v>-761.2900000000045</v>
      </c>
      <c r="L33" s="142">
        <f>F33/33465.8</f>
        <v>0.9772517017372958</v>
      </c>
      <c r="M33" s="40">
        <f>E33-квітень!E33</f>
        <v>6469.869999999999</v>
      </c>
      <c r="N33" s="40">
        <f>F33-квітень!F33</f>
        <v>6787.09</v>
      </c>
      <c r="O33" s="53">
        <f t="shared" si="3"/>
        <v>317.22000000000116</v>
      </c>
      <c r="P33" s="56">
        <f aca="true" t="shared" si="17" ref="P33:P67">N33/M33*100</f>
        <v>104.90303514599213</v>
      </c>
      <c r="Q33" s="141">
        <f>N33-6537.6</f>
        <v>249.48999999999978</v>
      </c>
      <c r="R33" s="142">
        <f>N33/6537.2</f>
        <v>1.0382258459279203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E34-квітень!E34</f>
        <v>0</v>
      </c>
      <c r="N34" s="40">
        <f>F34-квітень!F34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E35-квітень!E35</f>
        <v>0</v>
      </c>
      <c r="N35" s="40">
        <f>F35-квітень!F35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E36-квітень!E36</f>
        <v>0</v>
      </c>
      <c r="N36" s="40">
        <f>F36-квітень!F36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E37-квітень!E37</f>
        <v>0</v>
      </c>
      <c r="N37" s="40">
        <f>F37-квітень!F37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E38-квітень!E38</f>
        <v>0</v>
      </c>
      <c r="N38" s="40">
        <f>F38-квітень!F38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E39-квітень!E39</f>
        <v>0</v>
      </c>
      <c r="N39" s="40">
        <f>F39-квітень!F39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E40-квітень!E40</f>
        <v>0</v>
      </c>
      <c r="N40" s="40">
        <f>F40-квітень!F40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E41-квітень!E41</f>
        <v>0</v>
      </c>
      <c r="N41" s="40">
        <f>F41-квітень!F41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E42-квітень!E42</f>
        <v>0</v>
      </c>
      <c r="N42" s="40">
        <f>F42-квітень!F42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E43-квітень!E43</f>
        <v>0</v>
      </c>
      <c r="N43" s="40">
        <f>F43-квітень!F43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E44-квітень!E44</f>
        <v>0</v>
      </c>
      <c r="N44" s="40">
        <f>F44-квітень!F44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E45-квітень!E45</f>
        <v>0</v>
      </c>
      <c r="N45" s="40">
        <f>F45-квітень!F45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E46-квітень!E46</f>
        <v>0</v>
      </c>
      <c r="N46" s="40">
        <f>F46-квітень!F46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E47-квітень!E47</f>
        <v>0</v>
      </c>
      <c r="N47" s="40">
        <f>F47-квітень!F47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E48-квітень!E48</f>
        <v>0</v>
      </c>
      <c r="N48" s="40">
        <f>F48-квітень!F48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E49-квітень!E49</f>
        <v>0</v>
      </c>
      <c r="N49" s="40">
        <f>F49-квітень!F49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E50-квітень!E50</f>
        <v>0</v>
      </c>
      <c r="N50" s="40">
        <f>F50-квітень!F50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E51-квітень!E51</f>
        <v>0</v>
      </c>
      <c r="N51" s="40">
        <f>F51-квітень!F51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E52-квітень!E52</f>
        <v>0</v>
      </c>
      <c r="N52" s="40">
        <f>F52-квітень!F52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E53-квітень!E53</f>
        <v>0</v>
      </c>
      <c r="N53" s="40">
        <f>F53-квітень!F53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E54-квітень!E54</f>
        <v>0</v>
      </c>
      <c r="N54" s="40">
        <f>F54-квітень!F54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23550.16</v>
      </c>
      <c r="F55" s="146">
        <v>24538.18</v>
      </c>
      <c r="G55" s="144">
        <f t="shared" si="14"/>
        <v>988.0200000000004</v>
      </c>
      <c r="H55" s="146">
        <f t="shared" si="15"/>
        <v>104.19538550905811</v>
      </c>
      <c r="I55" s="145">
        <f t="shared" si="18"/>
        <v>-45727.82</v>
      </c>
      <c r="J55" s="145">
        <f t="shared" si="16"/>
        <v>34.921839865653375</v>
      </c>
      <c r="K55" s="148">
        <f>F55-24232.1</f>
        <v>306.08000000000175</v>
      </c>
      <c r="L55" s="149">
        <f>F55/24232.1</f>
        <v>1.012631179303486</v>
      </c>
      <c r="M55" s="40">
        <f>E55-квітень!E55</f>
        <v>4739.869999999999</v>
      </c>
      <c r="N55" s="40">
        <f>F55-квітень!F55</f>
        <v>5142.779999999999</v>
      </c>
      <c r="O55" s="148">
        <f t="shared" si="3"/>
        <v>402.90999999999985</v>
      </c>
      <c r="P55" s="148">
        <f t="shared" si="17"/>
        <v>108.5004441050071</v>
      </c>
      <c r="Q55" s="160">
        <f>N55-4803.25</f>
        <v>339.52999999999884</v>
      </c>
      <c r="R55" s="161">
        <f>N55/4803.25</f>
        <v>1.070687555301098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2789.1</v>
      </c>
      <c r="F56" s="40">
        <f>2691.09+0.23</f>
        <v>2691.32</v>
      </c>
      <c r="G56" s="49">
        <f t="shared" si="14"/>
        <v>-97.77999999999975</v>
      </c>
      <c r="H56" s="40">
        <f t="shared" si="15"/>
        <v>96.49420960166363</v>
      </c>
      <c r="I56" s="56">
        <f t="shared" si="18"/>
        <v>-4168.68</v>
      </c>
      <c r="J56" s="56">
        <f t="shared" si="16"/>
        <v>39.23206997084549</v>
      </c>
      <c r="K56" s="56">
        <f>F56-2649.7</f>
        <v>41.620000000000346</v>
      </c>
      <c r="L56" s="135">
        <f>F56/2649.7</f>
        <v>1.0157074385779523</v>
      </c>
      <c r="M56" s="40">
        <f>E56-квітень!E56</f>
        <v>551</v>
      </c>
      <c r="N56" s="40">
        <f>F56-квітень!F56</f>
        <v>523.8400000000001</v>
      </c>
      <c r="O56" s="53">
        <f t="shared" si="3"/>
        <v>-27.159999999999854</v>
      </c>
      <c r="P56" s="56">
        <f t="shared" si="17"/>
        <v>95.07078039927407</v>
      </c>
      <c r="Q56" s="56">
        <f>N56-497.8</f>
        <v>26.040000000000134</v>
      </c>
      <c r="R56" s="135">
        <f>N56/497.8</f>
        <v>1.0523101647247894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E57-квітень!E57</f>
        <v>0</v>
      </c>
      <c r="N57" s="40">
        <f>F57-квітень!F57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E58-квітень!E58</f>
        <v>0</v>
      </c>
      <c r="N58" s="40">
        <f>F58-квітень!F58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E59-квітень!E59</f>
        <v>0</v>
      </c>
      <c r="N59" s="40">
        <f>F59-квітень!F59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E60-квітень!E60</f>
        <v>0</v>
      </c>
      <c r="N60" s="40">
        <f>F60-квітень!F60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E61-квітень!E61</f>
        <v>0</v>
      </c>
      <c r="N61" s="40">
        <f>F61-квітень!F61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E62-квітень!E62</f>
        <v>0</v>
      </c>
      <c r="N62" s="40">
        <f>F62-квітень!F62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E63-квітень!E63</f>
        <v>0</v>
      </c>
      <c r="N63" s="40">
        <f>F63-квітень!F63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E64-квітень!E64</f>
        <v>0</v>
      </c>
      <c r="N64" s="40">
        <f>F64-квітень!F64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E65-квітень!E65</f>
        <v>0</v>
      </c>
      <c r="N65" s="40">
        <f>F65-квітень!F65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E66-квітень!E66</f>
        <v>0</v>
      </c>
      <c r="N66" s="40">
        <f>F66-квітень!F66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E67-квітень!E67</f>
        <v>0</v>
      </c>
      <c r="N67" s="40">
        <f>F67-квітень!F67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0.93</v>
      </c>
      <c r="G68" s="49">
        <f t="shared" si="14"/>
        <v>0.8300000000000001</v>
      </c>
      <c r="H68" s="40"/>
      <c r="I68" s="56">
        <f t="shared" si="18"/>
        <v>0.8300000000000001</v>
      </c>
      <c r="J68" s="56">
        <f t="shared" si="16"/>
        <v>930.0000000000001</v>
      </c>
      <c r="K68" s="56">
        <f>F68-0.3</f>
        <v>0.6300000000000001</v>
      </c>
      <c r="L68" s="135"/>
      <c r="M68" s="40">
        <f>E68-квітень!E68</f>
        <v>0</v>
      </c>
      <c r="N68" s="40">
        <f>F68-квітень!F68</f>
        <v>0.050000000000000044</v>
      </c>
      <c r="O68" s="53">
        <f t="shared" si="3"/>
        <v>0.050000000000000044</v>
      </c>
      <c r="P68" s="56"/>
      <c r="Q68" s="56">
        <f>N68-0</f>
        <v>0.050000000000000044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5928</v>
      </c>
      <c r="F74" s="22">
        <f>F77+F86+F88+F89+F94+F95+F96+F97+F99+F103+F87</f>
        <v>5348.29</v>
      </c>
      <c r="G74" s="50">
        <f aca="true" t="shared" si="24" ref="G74:G92">F74-E74</f>
        <v>-579.71</v>
      </c>
      <c r="H74" s="51">
        <f aca="true" t="shared" si="25" ref="H74:H87">F74/E74*100</f>
        <v>90.22081646423752</v>
      </c>
      <c r="I74" s="36">
        <f aca="true" t="shared" si="26" ref="I74:I92">F74-D74</f>
        <v>-13010.009999999998</v>
      </c>
      <c r="J74" s="36">
        <f aca="true" t="shared" si="27" ref="J74:J92">F74/D74*100</f>
        <v>29.13281730879221</v>
      </c>
      <c r="K74" s="36">
        <f>F74-5538.5</f>
        <v>-190.21000000000004</v>
      </c>
      <c r="L74" s="136">
        <f>F74/7538.5</f>
        <v>0.7094634211049944</v>
      </c>
      <c r="M74" s="22">
        <f>M77+M86+M88+M89+M94+M95+M96+M97+M99+M87+M103</f>
        <v>1480.5</v>
      </c>
      <c r="N74" s="22">
        <f>N77+N86+N88+N89+N94+N95+N96+N97+N99+N32+N103+N87</f>
        <v>1161.9699999999998</v>
      </c>
      <c r="O74" s="55">
        <f aca="true" t="shared" si="28" ref="O74:O92">N74-M74</f>
        <v>-318.5300000000002</v>
      </c>
      <c r="P74" s="36">
        <f>N74/M74*100</f>
        <v>78.48497129348192</v>
      </c>
      <c r="Q74" s="36">
        <f>N74-2163.7</f>
        <v>-1001.73</v>
      </c>
      <c r="R74" s="136">
        <f>N74/2163.7</f>
        <v>0.5370291630078107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E77-квітень!E77</f>
        <v>50</v>
      </c>
      <c r="N77" s="40">
        <f>F77-квітень!F77</f>
        <v>83.32</v>
      </c>
      <c r="O77" s="53">
        <f t="shared" si="28"/>
        <v>33.31999999999999</v>
      </c>
      <c r="P77" s="56">
        <f aca="true" t="shared" si="29" ref="P77:P87">N77/M77*100</f>
        <v>166.64</v>
      </c>
      <c r="Q77" s="56">
        <f>N77-291.7</f>
        <v>-208.38</v>
      </c>
      <c r="R77" s="135">
        <f>N77/291.7</f>
        <v>0.2856359273225917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E78-квітень!E78</f>
        <v>0</v>
      </c>
      <c r="N78" s="40">
        <f>F78-квітень!F78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E79-квітень!E79</f>
        <v>0</v>
      </c>
      <c r="N79" s="40">
        <f>F79-квітень!F79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E80-квітень!E80</f>
        <v>0</v>
      </c>
      <c r="N80" s="40">
        <f>F80-квітень!F80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E81-квітень!E81</f>
        <v>0</v>
      </c>
      <c r="N81" s="40">
        <f>F81-квітень!F81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E82-квітень!E82</f>
        <v>0</v>
      </c>
      <c r="N82" s="40">
        <f>F82-квітень!F82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E83-квітень!E83</f>
        <v>0</v>
      </c>
      <c r="N83" s="40">
        <f>F83-квітень!F83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E84-квітень!E84</f>
        <v>0</v>
      </c>
      <c r="N84" s="40">
        <f>F84-квітень!F84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E85-квітень!E85</f>
        <v>0</v>
      </c>
      <c r="N85" s="40">
        <f>F85-квітень!F85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680</v>
      </c>
      <c r="F86" s="57">
        <v>0</v>
      </c>
      <c r="G86" s="49">
        <f t="shared" si="24"/>
        <v>-680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F86-692.6</f>
        <v>-692.6</v>
      </c>
      <c r="L86" s="135">
        <f>F86/692.6</f>
        <v>0</v>
      </c>
      <c r="M86" s="40">
        <f>E86-квітень!E86</f>
        <v>430</v>
      </c>
      <c r="N86" s="40">
        <f>F86-квітень!F86</f>
        <v>0</v>
      </c>
      <c r="O86" s="53">
        <f t="shared" si="28"/>
        <v>-430</v>
      </c>
      <c r="P86" s="56">
        <f t="shared" si="29"/>
        <v>0</v>
      </c>
      <c r="Q86" s="56">
        <f>N86-435.9</f>
        <v>-435.9</v>
      </c>
      <c r="R86" s="135">
        <f>N86/435.9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E87-квітень!E87</f>
        <v>0</v>
      </c>
      <c r="N87" s="40">
        <f>F87-квітень!F87</f>
        <v>2.420000000000016</v>
      </c>
      <c r="O87" s="53">
        <f t="shared" si="28"/>
        <v>2.420000000000016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1.5</v>
      </c>
      <c r="F88" s="57">
        <v>5.08</v>
      </c>
      <c r="G88" s="49">
        <f t="shared" si="24"/>
        <v>3.58</v>
      </c>
      <c r="H88" s="40">
        <f>F88/E88*100</f>
        <v>338.6666666666667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E88-квітень!E88</f>
        <v>0.5</v>
      </c>
      <c r="N88" s="40">
        <f>F88-квітень!F88</f>
        <v>1</v>
      </c>
      <c r="O88" s="53">
        <f t="shared" si="28"/>
        <v>0.5</v>
      </c>
      <c r="P88" s="56">
        <f>N88/M88*100</f>
        <v>200</v>
      </c>
      <c r="Q88" s="56">
        <f>N88-0</f>
        <v>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69</v>
      </c>
      <c r="F89" s="57">
        <v>47.09</v>
      </c>
      <c r="G89" s="49">
        <f t="shared" si="24"/>
        <v>-21.909999999999997</v>
      </c>
      <c r="H89" s="40">
        <f>F89/E89*100</f>
        <v>68.24637681159422</v>
      </c>
      <c r="I89" s="56">
        <f t="shared" si="26"/>
        <v>-127.91</v>
      </c>
      <c r="J89" s="56">
        <f t="shared" si="27"/>
        <v>26.90857142857143</v>
      </c>
      <c r="K89" s="56">
        <f>F89-73.4</f>
        <v>-26.310000000000002</v>
      </c>
      <c r="L89" s="135">
        <f>F89/73.4</f>
        <v>0.6415531335149863</v>
      </c>
      <c r="M89" s="40">
        <f>E89-квітень!E89</f>
        <v>15</v>
      </c>
      <c r="N89" s="40">
        <f>F89-квітень!F89</f>
        <v>12.650000000000006</v>
      </c>
      <c r="O89" s="53">
        <f t="shared" si="28"/>
        <v>-2.3499999999999943</v>
      </c>
      <c r="P89" s="56">
        <f>N89/M89*100</f>
        <v>84.33333333333337</v>
      </c>
      <c r="Q89" s="56">
        <f>N89-7.1</f>
        <v>5.550000000000006</v>
      </c>
      <c r="R89" s="135">
        <f>N89/7.1</f>
        <v>1.7816901408450714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E90-квітень!E90</f>
        <v>0</v>
      </c>
      <c r="N90" s="40">
        <f>F90-квітень!F90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E91-квітень!E91</f>
        <v>0</v>
      </c>
      <c r="N91" s="40">
        <f>F91-квітень!F91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E92-квітень!E92</f>
        <v>0</v>
      </c>
      <c r="N92" s="40">
        <f>F92-квітень!F92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E93-квітень!E93</f>
        <v>0</v>
      </c>
      <c r="N93" s="40">
        <f>F93-квітень!F93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E94-квітень!E94</f>
        <v>0</v>
      </c>
      <c r="N94" s="40">
        <f>F94-квітень!F94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2956.5</v>
      </c>
      <c r="F95" s="57">
        <v>2962.16</v>
      </c>
      <c r="G95" s="49">
        <f t="shared" si="31"/>
        <v>5.6599999999998545</v>
      </c>
      <c r="H95" s="40">
        <f>F95/E95*100</f>
        <v>100.19144258413664</v>
      </c>
      <c r="I95" s="56">
        <f t="shared" si="32"/>
        <v>-4037.84</v>
      </c>
      <c r="J95" s="56">
        <f>F95/D95*100</f>
        <v>42.31657142857143</v>
      </c>
      <c r="K95" s="56">
        <f>F95-2948.4</f>
        <v>13.759999999999764</v>
      </c>
      <c r="L95" s="135">
        <f>F95/2948.4</f>
        <v>1.0046669380002713</v>
      </c>
      <c r="M95" s="40">
        <f>E95-квітень!E95</f>
        <v>575</v>
      </c>
      <c r="N95" s="40">
        <f>F95-квітень!F95</f>
        <v>579.6299999999997</v>
      </c>
      <c r="O95" s="53">
        <f t="shared" si="33"/>
        <v>4.629999999999654</v>
      </c>
      <c r="P95" s="56">
        <f>N95/M95*100</f>
        <v>100.80521739130428</v>
      </c>
      <c r="Q95" s="56">
        <f>N95-679.2</f>
        <v>-99.57000000000039</v>
      </c>
      <c r="R95" s="135">
        <f>N95/679.2</f>
        <v>0.8534010600706708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374.5</v>
      </c>
      <c r="F96" s="57">
        <v>350.98</v>
      </c>
      <c r="G96" s="49">
        <f t="shared" si="31"/>
        <v>-23.519999999999982</v>
      </c>
      <c r="H96" s="40">
        <f>F96/E96*100</f>
        <v>93.7196261682243</v>
      </c>
      <c r="I96" s="56">
        <f t="shared" si="32"/>
        <v>-849.02</v>
      </c>
      <c r="J96" s="56">
        <f>F96/D96*100</f>
        <v>29.24833333333334</v>
      </c>
      <c r="K96" s="56">
        <f>F96-374</f>
        <v>-23.019999999999982</v>
      </c>
      <c r="L96" s="135">
        <f>F96/374</f>
        <v>0.9384491978609626</v>
      </c>
      <c r="M96" s="40">
        <f>E96-квітень!E96</f>
        <v>80</v>
      </c>
      <c r="N96" s="40">
        <f>F96-квітень!F96</f>
        <v>71.39000000000004</v>
      </c>
      <c r="O96" s="53">
        <f t="shared" si="33"/>
        <v>-8.609999999999957</v>
      </c>
      <c r="P96" s="56">
        <f>N96/M96*100</f>
        <v>89.23750000000005</v>
      </c>
      <c r="Q96" s="56">
        <f>N96-68.5</f>
        <v>2.890000000000043</v>
      </c>
      <c r="R96" s="135">
        <f>N96/68.5</f>
        <v>1.0421897810218985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F97-15.3</f>
        <v>-15.3</v>
      </c>
      <c r="L97" s="135">
        <f>F97/15.3</f>
        <v>0</v>
      </c>
      <c r="M97" s="40">
        <f>E97-квітень!E97</f>
        <v>0</v>
      </c>
      <c r="N97" s="40">
        <f>F97-квітень!F97</f>
        <v>0</v>
      </c>
      <c r="O97" s="53">
        <f t="shared" si="33"/>
        <v>0</v>
      </c>
      <c r="P97" s="56"/>
      <c r="Q97" s="56">
        <f>N97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E98-квітень!E98</f>
        <v>0</v>
      </c>
      <c r="N98" s="40">
        <f>F98-квітень!F98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1507</v>
      </c>
      <c r="F99" s="57">
        <v>1649.93</v>
      </c>
      <c r="G99" s="49">
        <f t="shared" si="31"/>
        <v>142.93000000000006</v>
      </c>
      <c r="H99" s="40">
        <f>F99/E99*100</f>
        <v>109.48440610484407</v>
      </c>
      <c r="I99" s="56">
        <f t="shared" si="32"/>
        <v>-2922.7699999999995</v>
      </c>
      <c r="J99" s="56">
        <f>F99/D99*100</f>
        <v>36.08218339274389</v>
      </c>
      <c r="K99" s="56">
        <f>F99-1665.9</f>
        <v>-15.970000000000027</v>
      </c>
      <c r="L99" s="135">
        <f>F99/1665.9</f>
        <v>0.9904135902515157</v>
      </c>
      <c r="M99" s="40">
        <f>E99-квітень!E99</f>
        <v>330</v>
      </c>
      <c r="N99" s="40">
        <f>F99-квітень!F99</f>
        <v>411.47</v>
      </c>
      <c r="O99" s="53">
        <f t="shared" si="33"/>
        <v>81.47000000000003</v>
      </c>
      <c r="P99" s="56">
        <f>N99/M99*100</f>
        <v>124.68787878787879</v>
      </c>
      <c r="Q99" s="56">
        <f>N99-671</f>
        <v>-259.53</v>
      </c>
      <c r="R99" s="135">
        <f>N99/671</f>
        <v>0.6132190760059613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E100-квітень!E100</f>
        <v>0</v>
      </c>
      <c r="N100" s="40">
        <f>F100-квітень!F100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E101-квітень!E101</f>
        <v>0</v>
      </c>
      <c r="N101" s="40">
        <f>F101-квітень!F101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289.98</v>
      </c>
      <c r="G102" s="144"/>
      <c r="H102" s="146"/>
      <c r="I102" s="145"/>
      <c r="J102" s="145"/>
      <c r="K102" s="148">
        <f>F102-184.7</f>
        <v>105.28000000000003</v>
      </c>
      <c r="L102" s="149">
        <f>F102/184.7</f>
        <v>1.5700054141851654</v>
      </c>
      <c r="M102" s="40">
        <f>E102-квітень!E102</f>
        <v>0</v>
      </c>
      <c r="N102" s="40">
        <f>F102-квітень!F102</f>
        <v>55.33000000000001</v>
      </c>
      <c r="O102" s="53"/>
      <c r="P102" s="60"/>
      <c r="Q102" s="60">
        <f>N102-45.1</f>
        <v>10.230000000000011</v>
      </c>
      <c r="R102" s="138">
        <f>N102/45.1</f>
        <v>1.2268292682926831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-53.83</v>
      </c>
      <c r="K103" s="56">
        <f>F103-59.1</f>
        <v>-45.82</v>
      </c>
      <c r="L103" s="135">
        <f>F103/59.1</f>
        <v>0.22470389170896785</v>
      </c>
      <c r="M103" s="40">
        <f>E103-квітень!E103</f>
        <v>0</v>
      </c>
      <c r="N103" s="40">
        <f>F103-квітень!F103</f>
        <v>0.08999999999999986</v>
      </c>
      <c r="O103" s="53">
        <f aca="true" t="shared" si="35" ref="O103:O109">N103-M103</f>
        <v>0.08999999999999986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12.2</v>
      </c>
      <c r="F104" s="57">
        <v>11.67</v>
      </c>
      <c r="G104" s="49">
        <f>F104-E104</f>
        <v>-0.5299999999999994</v>
      </c>
      <c r="H104" s="40">
        <f>F104/E104*100</f>
        <v>95.65573770491804</v>
      </c>
      <c r="I104" s="56">
        <f t="shared" si="34"/>
        <v>-33.33</v>
      </c>
      <c r="J104" s="56">
        <f aca="true" t="shared" si="36" ref="J104:J109">F104/D104*100</f>
        <v>25.93333333333333</v>
      </c>
      <c r="K104" s="56">
        <f>F104-13.3</f>
        <v>-1.6300000000000008</v>
      </c>
      <c r="L104" s="135">
        <f>F104/13.3</f>
        <v>0.8774436090225564</v>
      </c>
      <c r="M104" s="40">
        <f>E104-квітень!E104</f>
        <v>3</v>
      </c>
      <c r="N104" s="40">
        <f>F104-квітень!F104</f>
        <v>2.66</v>
      </c>
      <c r="O104" s="53">
        <f t="shared" si="35"/>
        <v>-0.33999999999999986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E105-квітень!E105</f>
        <v>0</v>
      </c>
      <c r="N105" s="40">
        <f>F105-квітень!F105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197611.26</v>
      </c>
      <c r="F106" s="22">
        <f>F8+F74+F104+F105</f>
        <v>190165.20000000004</v>
      </c>
      <c r="G106" s="50">
        <f>F106-E106</f>
        <v>-7446.059999999969</v>
      </c>
      <c r="H106" s="51">
        <f>F106/E106*100</f>
        <v>96.23196572907841</v>
      </c>
      <c r="I106" s="36">
        <f t="shared" si="34"/>
        <v>-316714.3999999999</v>
      </c>
      <c r="J106" s="36">
        <f t="shared" si="36"/>
        <v>37.516838318212066</v>
      </c>
      <c r="K106" s="36">
        <f>F106-194689.2</f>
        <v>-4523.999999999971</v>
      </c>
      <c r="L106" s="136">
        <f>F106/194689.2</f>
        <v>0.976762963739129</v>
      </c>
      <c r="M106" s="22">
        <f>M8+M74+M104+M105</f>
        <v>38933.46999999999</v>
      </c>
      <c r="N106" s="22">
        <f>N8+N74+N104+N105</f>
        <v>40208.07000000001</v>
      </c>
      <c r="O106" s="55">
        <f t="shared" si="35"/>
        <v>1274.6000000000204</v>
      </c>
      <c r="P106" s="36">
        <f>N106/M106*100</f>
        <v>103.27378987796368</v>
      </c>
      <c r="Q106" s="36">
        <f>N106-38187.1</f>
        <v>2020.9700000000084</v>
      </c>
      <c r="R106" s="136">
        <f>N106/38187.1</f>
        <v>1.0529228456730155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156486.3</v>
      </c>
      <c r="F107" s="71">
        <f>F10-F18+F96</f>
        <v>149111.13</v>
      </c>
      <c r="G107" s="71">
        <f>G10-G18+G96</f>
        <v>-7375.169999999995</v>
      </c>
      <c r="H107" s="72">
        <f>F107/E107*100</f>
        <v>95.28701873582544</v>
      </c>
      <c r="I107" s="52">
        <f t="shared" si="34"/>
        <v>-239102.07</v>
      </c>
      <c r="J107" s="52">
        <f t="shared" si="36"/>
        <v>38.40959812803892</v>
      </c>
      <c r="K107" s="52">
        <f>F107-146288.9</f>
        <v>2822.2300000000105</v>
      </c>
      <c r="L107" s="137">
        <f>F107/146288.9</f>
        <v>1.019292167758456</v>
      </c>
      <c r="M107" s="71">
        <f>M10-M18+M96</f>
        <v>30488.59999999999</v>
      </c>
      <c r="N107" s="71">
        <f>N10-N18+N96</f>
        <v>31711.39</v>
      </c>
      <c r="O107" s="53">
        <f t="shared" si="35"/>
        <v>1222.7900000000081</v>
      </c>
      <c r="P107" s="52">
        <f>N107/M107*100</f>
        <v>104.01064660233664</v>
      </c>
      <c r="Q107" s="52">
        <f>N107-28646.6</f>
        <v>3064.790000000001</v>
      </c>
      <c r="R107" s="137">
        <f>N107/28646.6</f>
        <v>1.1069861693883394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41124.96000000002</v>
      </c>
      <c r="F108" s="71">
        <f>F106-F107</f>
        <v>41054.070000000036</v>
      </c>
      <c r="G108" s="62">
        <f>F108-E108</f>
        <v>-70.88999999998487</v>
      </c>
      <c r="H108" s="72">
        <f>F108/E108*100</f>
        <v>99.8276229326424</v>
      </c>
      <c r="I108" s="52">
        <f t="shared" si="34"/>
        <v>-77612.32999999993</v>
      </c>
      <c r="J108" s="52">
        <f t="shared" si="36"/>
        <v>34.59620414877341</v>
      </c>
      <c r="K108" s="52">
        <f>F108-48400.3</f>
        <v>-7346.229999999967</v>
      </c>
      <c r="L108" s="137">
        <f>F108/48400.3</f>
        <v>0.8482193292190344</v>
      </c>
      <c r="M108" s="71">
        <f>M106-M107</f>
        <v>8444.869999999995</v>
      </c>
      <c r="N108" s="71">
        <f>N106-N107</f>
        <v>8496.680000000008</v>
      </c>
      <c r="O108" s="53">
        <f t="shared" si="35"/>
        <v>51.810000000012224</v>
      </c>
      <c r="P108" s="52">
        <f>N108/M108*100</f>
        <v>100.61350855608214</v>
      </c>
      <c r="Q108" s="52">
        <f>N108-9540.4</f>
        <v>-1043.719999999992</v>
      </c>
      <c r="R108" s="137">
        <f>N108/9540.4</f>
        <v>0.8905999748438229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151116.4</v>
      </c>
      <c r="F109" s="71">
        <f>F107</f>
        <v>149111.13</v>
      </c>
      <c r="G109" s="111">
        <f>F109-E109</f>
        <v>-2005.2699999999895</v>
      </c>
      <c r="H109" s="72">
        <f>F109/E109*100</f>
        <v>98.67302953220167</v>
      </c>
      <c r="I109" s="81">
        <f t="shared" si="34"/>
        <v>-239102.07</v>
      </c>
      <c r="J109" s="52">
        <f t="shared" si="36"/>
        <v>38.40959812803892</v>
      </c>
      <c r="K109" s="52"/>
      <c r="L109" s="137"/>
      <c r="M109" s="72">
        <f>E109-квітень!E109</f>
        <v>30488.59999999999</v>
      </c>
      <c r="N109" s="71">
        <f>N107</f>
        <v>31711.39</v>
      </c>
      <c r="O109" s="118">
        <f t="shared" si="35"/>
        <v>1222.7900000000081</v>
      </c>
      <c r="P109" s="52">
        <f>N109/M109*100</f>
        <v>104.01064660233664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244</v>
      </c>
      <c r="C111" s="93"/>
      <c r="D111" s="84"/>
      <c r="E111" s="111">
        <f>0-квітень!G109</f>
        <v>3228.060000000012</v>
      </c>
      <c r="F111" s="84">
        <v>0</v>
      </c>
      <c r="G111" s="62">
        <f>F111-E111</f>
        <v>-3228.060000000012</v>
      </c>
      <c r="H111" s="72"/>
      <c r="I111" s="85"/>
      <c r="J111" s="52"/>
      <c r="K111" s="52"/>
      <c r="L111" s="137"/>
      <c r="M111" s="159">
        <f>E111</f>
        <v>3228.060000000012</v>
      </c>
      <c r="N111" s="84">
        <v>0</v>
      </c>
      <c r="O111" s="118">
        <f>N111-M111</f>
        <v>-3228.060000000012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F113-6.7</f>
        <v>-7.84</v>
      </c>
      <c r="L113" s="138">
        <f>F113/6.7</f>
        <v>-0.17014925373134326</v>
      </c>
      <c r="M113" s="40">
        <f>E113-квітень!E113</f>
        <v>0</v>
      </c>
      <c r="N113" s="40">
        <f>F113-квітень!F113</f>
        <v>-0.18999999999999995</v>
      </c>
      <c r="O113" s="53"/>
      <c r="P113" s="60"/>
      <c r="Q113" s="60">
        <f>N113-0</f>
        <v>-0.18999999999999995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1369.6</v>
      </c>
      <c r="F114" s="32">
        <f>499.76</f>
        <v>499.76</v>
      </c>
      <c r="G114" s="49">
        <f t="shared" si="37"/>
        <v>-869.8399999999999</v>
      </c>
      <c r="H114" s="40">
        <f aca="true" t="shared" si="39" ref="H114:H125">F114/E114*100</f>
        <v>36.48948598130841</v>
      </c>
      <c r="I114" s="60">
        <f t="shared" si="38"/>
        <v>-3171.74</v>
      </c>
      <c r="J114" s="60">
        <f aca="true" t="shared" si="40" ref="J114:J120">F114/D114*100</f>
        <v>13.611875255345227</v>
      </c>
      <c r="K114" s="60">
        <f>F114-1614.9</f>
        <v>-1115.14</v>
      </c>
      <c r="L114" s="138">
        <f>F114/1614.9</f>
        <v>0.3094680785187937</v>
      </c>
      <c r="M114" s="40">
        <f>E114-квітень!E114</f>
        <v>327.5</v>
      </c>
      <c r="N114" s="40">
        <f>F114-квітень!F114</f>
        <v>124.76999999999998</v>
      </c>
      <c r="O114" s="53">
        <f aca="true" t="shared" si="41" ref="O114:O125">N114-M114</f>
        <v>-202.73000000000002</v>
      </c>
      <c r="P114" s="60">
        <f>N114/M114*100</f>
        <v>38.09770992366412</v>
      </c>
      <c r="Q114" s="60">
        <f>N114-411.7</f>
        <v>-286.93</v>
      </c>
      <c r="R114" s="138">
        <f>N114/411.7</f>
        <v>0.303060480932718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112.5</v>
      </c>
      <c r="F115" s="32">
        <v>119.54</v>
      </c>
      <c r="G115" s="49">
        <f t="shared" si="37"/>
        <v>7.040000000000006</v>
      </c>
      <c r="H115" s="40">
        <f t="shared" si="39"/>
        <v>106.25777777777779</v>
      </c>
      <c r="I115" s="60">
        <f t="shared" si="38"/>
        <v>-148.56</v>
      </c>
      <c r="J115" s="60">
        <f t="shared" si="40"/>
        <v>44.58784035807534</v>
      </c>
      <c r="K115" s="60">
        <f>F115-105.4</f>
        <v>14.14</v>
      </c>
      <c r="L115" s="138">
        <f>F115/105.4</f>
        <v>1.13415559772296</v>
      </c>
      <c r="M115" s="40">
        <f>E115-квітень!E115</f>
        <v>22</v>
      </c>
      <c r="N115" s="40">
        <f>F115-квітень!F115</f>
        <v>23.010000000000005</v>
      </c>
      <c r="O115" s="53">
        <f t="shared" si="41"/>
        <v>1.0100000000000051</v>
      </c>
      <c r="P115" s="60">
        <f>N115/M115*100</f>
        <v>104.59090909090911</v>
      </c>
      <c r="Q115" s="60">
        <f>N115-21.2</f>
        <v>1.8100000000000058</v>
      </c>
      <c r="R115" s="138">
        <f>N115/21.2</f>
        <v>1.0853773584905664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1482.1</v>
      </c>
      <c r="F116" s="38">
        <f>SUM(F113:F115)</f>
        <v>618.16</v>
      </c>
      <c r="G116" s="62">
        <f t="shared" si="37"/>
        <v>-863.9399999999999</v>
      </c>
      <c r="H116" s="72">
        <f t="shared" si="39"/>
        <v>41.70838674853249</v>
      </c>
      <c r="I116" s="61">
        <f t="shared" si="38"/>
        <v>-3321.44</v>
      </c>
      <c r="J116" s="61">
        <f t="shared" si="40"/>
        <v>15.690933089653772</v>
      </c>
      <c r="K116" s="61">
        <f>F116-1727</f>
        <v>-1108.8400000000001</v>
      </c>
      <c r="L116" s="139">
        <f>F116/1727</f>
        <v>0.35793862188766645</v>
      </c>
      <c r="M116" s="62">
        <f>M114+M115+M113</f>
        <v>349.5</v>
      </c>
      <c r="N116" s="38">
        <f>SUM(N113:N115)</f>
        <v>147.58999999999997</v>
      </c>
      <c r="O116" s="61">
        <f t="shared" si="41"/>
        <v>-201.91000000000003</v>
      </c>
      <c r="P116" s="61">
        <f>N116/M116*100</f>
        <v>42.22889842632331</v>
      </c>
      <c r="Q116" s="61">
        <f>N116-432.8</f>
        <v>-285.21000000000004</v>
      </c>
      <c r="R116" s="139">
        <f>N116/432.8</f>
        <v>0.3410120147874306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129.75</v>
      </c>
      <c r="G118" s="49">
        <f t="shared" si="37"/>
        <v>23.25</v>
      </c>
      <c r="H118" s="40">
        <f t="shared" si="39"/>
        <v>121.83098591549295</v>
      </c>
      <c r="I118" s="60">
        <f t="shared" si="38"/>
        <v>-137.45</v>
      </c>
      <c r="J118" s="60">
        <f t="shared" si="40"/>
        <v>48.55913173652695</v>
      </c>
      <c r="K118" s="60">
        <f>F118-88.5</f>
        <v>41.25</v>
      </c>
      <c r="L118" s="138">
        <f>F118/88.5</f>
        <v>1.4661016949152543</v>
      </c>
      <c r="M118" s="40">
        <f>E118-квітень!E118</f>
        <v>0</v>
      </c>
      <c r="N118" s="40">
        <f>F118-квітень!F118</f>
        <v>1.8900000000000006</v>
      </c>
      <c r="O118" s="53">
        <f>N118-M118</f>
        <v>1.8900000000000006</v>
      </c>
      <c r="P118" s="60" t="e">
        <f>N118/M118*100</f>
        <v>#DIV/0!</v>
      </c>
      <c r="Q118" s="60">
        <f>N118-0.1</f>
        <v>1.7900000000000005</v>
      </c>
      <c r="R118" s="138">
        <f>N118/0.1</f>
        <v>18.900000000000006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31612.6</v>
      </c>
      <c r="F119" s="33">
        <v>35174.22</v>
      </c>
      <c r="G119" s="49">
        <f t="shared" si="37"/>
        <v>3561.6200000000026</v>
      </c>
      <c r="H119" s="40">
        <f t="shared" si="39"/>
        <v>111.2664570456084</v>
      </c>
      <c r="I119" s="53">
        <f t="shared" si="38"/>
        <v>-36801.770000000004</v>
      </c>
      <c r="J119" s="60">
        <f t="shared" si="40"/>
        <v>48.86937991405189</v>
      </c>
      <c r="K119" s="60">
        <f>F119-30022.6</f>
        <v>5151.620000000003</v>
      </c>
      <c r="L119" s="138">
        <f>F119/30022.6</f>
        <v>1.1715914011444712</v>
      </c>
      <c r="M119" s="40">
        <f>E119-квітень!E119</f>
        <v>6500</v>
      </c>
      <c r="N119" s="40">
        <f>F119-квітень!F119</f>
        <v>8612.380000000001</v>
      </c>
      <c r="O119" s="53">
        <f t="shared" si="41"/>
        <v>2112.380000000001</v>
      </c>
      <c r="P119" s="60">
        <f aca="true" t="shared" si="42" ref="P119:P124">N119/M119*100</f>
        <v>132.49815384615385</v>
      </c>
      <c r="Q119" s="60">
        <f>N119-6377.4</f>
        <v>2234.9800000000014</v>
      </c>
      <c r="R119" s="138">
        <f>N119/6377.4</f>
        <v>1.3504531627308938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1648</v>
      </c>
      <c r="F120" s="33">
        <v>1611.93</v>
      </c>
      <c r="G120" s="49">
        <f t="shared" si="37"/>
        <v>-36.069999999999936</v>
      </c>
      <c r="H120" s="40">
        <f t="shared" si="39"/>
        <v>97.811286407767</v>
      </c>
      <c r="I120" s="60">
        <f t="shared" si="38"/>
        <v>-8388.07</v>
      </c>
      <c r="J120" s="60">
        <f t="shared" si="40"/>
        <v>16.1193</v>
      </c>
      <c r="K120" s="60">
        <f>F120-436.1</f>
        <v>1175.83</v>
      </c>
      <c r="L120" s="138">
        <f>F120/436.1</f>
        <v>3.696239394634258</v>
      </c>
      <c r="M120" s="40">
        <f>E120-квітень!E120</f>
        <v>207</v>
      </c>
      <c r="N120" s="40">
        <f>F120-квітень!F120</f>
        <v>176.93000000000006</v>
      </c>
      <c r="O120" s="53">
        <f t="shared" si="41"/>
        <v>-30.069999999999936</v>
      </c>
      <c r="P120" s="60">
        <f t="shared" si="42"/>
        <v>85.47342995169085</v>
      </c>
      <c r="Q120" s="60">
        <f>N120-0</f>
        <v>176.93000000000006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3055.4</v>
      </c>
      <c r="F121" s="33">
        <v>2070.75</v>
      </c>
      <c r="G121" s="49">
        <f t="shared" si="37"/>
        <v>-984.6500000000001</v>
      </c>
      <c r="H121" s="40">
        <f t="shared" si="39"/>
        <v>67.77345028474177</v>
      </c>
      <c r="I121" s="60">
        <f t="shared" si="38"/>
        <v>-21007.25</v>
      </c>
      <c r="J121" s="60">
        <f>F121/D121*100</f>
        <v>8.972831267874167</v>
      </c>
      <c r="K121" s="60">
        <f>F121-7468.7</f>
        <v>-5397.95</v>
      </c>
      <c r="L121" s="138">
        <f>F121/7468.7</f>
        <v>0.2772570862399079</v>
      </c>
      <c r="M121" s="40">
        <f>E121-квітень!E121</f>
        <v>1575.4</v>
      </c>
      <c r="N121" s="40">
        <f>F121-квітень!F121</f>
        <v>583.26</v>
      </c>
      <c r="O121" s="53">
        <f t="shared" si="41"/>
        <v>-992.1400000000001</v>
      </c>
      <c r="P121" s="60">
        <f t="shared" si="42"/>
        <v>37.02297829122762</v>
      </c>
      <c r="Q121" s="60">
        <f>N121-192.7</f>
        <v>390.56</v>
      </c>
      <c r="R121" s="138">
        <f>N121/192.7</f>
        <v>3.0267773741567203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672.86</v>
      </c>
      <c r="F122" s="33">
        <v>700.79</v>
      </c>
      <c r="G122" s="49">
        <f t="shared" si="37"/>
        <v>27.92999999999995</v>
      </c>
      <c r="H122" s="40">
        <f t="shared" si="39"/>
        <v>104.15093778794993</v>
      </c>
      <c r="I122" s="60">
        <f t="shared" si="38"/>
        <v>-1299.21</v>
      </c>
      <c r="J122" s="60">
        <f>F122/D122*100</f>
        <v>35.0395</v>
      </c>
      <c r="K122" s="60">
        <f>F122-1200</f>
        <v>-499.21000000000004</v>
      </c>
      <c r="L122" s="138">
        <f>F122/1200</f>
        <v>0.5839916666666667</v>
      </c>
      <c r="M122" s="40">
        <f>E122-квітень!E122</f>
        <v>189.59000000000003</v>
      </c>
      <c r="N122" s="40">
        <f>F122-квітень!F122</f>
        <v>123.51999999999998</v>
      </c>
      <c r="O122" s="53">
        <f t="shared" si="41"/>
        <v>-66.07000000000005</v>
      </c>
      <c r="P122" s="60">
        <f t="shared" si="42"/>
        <v>65.15111556516692</v>
      </c>
      <c r="Q122" s="60">
        <f>N122-29.5</f>
        <v>94.01999999999998</v>
      </c>
      <c r="R122" s="138">
        <f>N122/29.5</f>
        <v>4.187118644067796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37095.36</v>
      </c>
      <c r="F123" s="38">
        <f>F119+F120+F121+F122+F118</f>
        <v>39687.44</v>
      </c>
      <c r="G123" s="62">
        <f t="shared" si="37"/>
        <v>2592.0800000000017</v>
      </c>
      <c r="H123" s="72">
        <f t="shared" si="39"/>
        <v>106.98761246689614</v>
      </c>
      <c r="I123" s="61">
        <f t="shared" si="38"/>
        <v>-67633.75</v>
      </c>
      <c r="J123" s="61">
        <f>F123/D123*100</f>
        <v>36.98005957630548</v>
      </c>
      <c r="K123" s="61">
        <f>F123-39215.9</f>
        <v>471.5400000000009</v>
      </c>
      <c r="L123" s="139">
        <f>F123/39215.9</f>
        <v>1.0120242044680856</v>
      </c>
      <c r="M123" s="62">
        <f>M119+M120+M121+M122+M118</f>
        <v>8471.99</v>
      </c>
      <c r="N123" s="62">
        <f>N119+N120+N121+N122+N118</f>
        <v>9497.980000000001</v>
      </c>
      <c r="O123" s="61">
        <f t="shared" si="41"/>
        <v>1025.9900000000016</v>
      </c>
      <c r="P123" s="61">
        <f t="shared" si="42"/>
        <v>112.1103778451108</v>
      </c>
      <c r="Q123" s="61">
        <f>N123-6599.8</f>
        <v>2898.180000000001</v>
      </c>
      <c r="R123" s="139">
        <f>N123/6599.8</f>
        <v>1.4391314888329951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14.16</v>
      </c>
      <c r="F124" s="33">
        <v>10.71</v>
      </c>
      <c r="G124" s="49">
        <f t="shared" si="37"/>
        <v>-3.4499999999999993</v>
      </c>
      <c r="H124" s="40">
        <f t="shared" si="39"/>
        <v>75.63559322033899</v>
      </c>
      <c r="I124" s="60">
        <f t="shared" si="38"/>
        <v>-32.79</v>
      </c>
      <c r="J124" s="60">
        <f>F124/D124*100</f>
        <v>24.620689655172416</v>
      </c>
      <c r="K124" s="60">
        <f>F124-99.2</f>
        <v>-88.49000000000001</v>
      </c>
      <c r="L124" s="138">
        <f>F124/99.2</f>
        <v>0.10796370967741936</v>
      </c>
      <c r="M124" s="40">
        <f>E124-квітень!E124</f>
        <v>3</v>
      </c>
      <c r="N124" s="40">
        <f>F124-квітень!F124</f>
        <v>1.0600000000000005</v>
      </c>
      <c r="O124" s="53">
        <f t="shared" si="41"/>
        <v>-1.9399999999999995</v>
      </c>
      <c r="P124" s="60">
        <f t="shared" si="42"/>
        <v>35.33333333333335</v>
      </c>
      <c r="Q124" s="60">
        <f>N124-1.4</f>
        <v>-0.3399999999999994</v>
      </c>
      <c r="R124" s="138">
        <f>N124/1.4</f>
        <v>0.7571428571428576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E125-квітень!E125</f>
        <v>0</v>
      </c>
      <c r="N125" s="40">
        <f>F125-квітень!F125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E126-квітень!E126</f>
        <v>0</v>
      </c>
      <c r="N126" s="40">
        <f>F126-квітень!F126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5011.5</v>
      </c>
      <c r="F127" s="33">
        <v>5292.86</v>
      </c>
      <c r="G127" s="49">
        <f aca="true" t="shared" si="43" ref="G127:G134">F127-E127</f>
        <v>281.3599999999997</v>
      </c>
      <c r="H127" s="40">
        <f>F127/E127*100</f>
        <v>105.61428713957896</v>
      </c>
      <c r="I127" s="60">
        <f aca="true" t="shared" si="44" ref="I127:I134">F127-D127</f>
        <v>-3407.1400000000003</v>
      </c>
      <c r="J127" s="60">
        <f>F127/D127*100</f>
        <v>60.837471264367814</v>
      </c>
      <c r="K127" s="60">
        <f>F127-6289.1</f>
        <v>-996.2400000000007</v>
      </c>
      <c r="L127" s="138">
        <f>F127/6289.1</f>
        <v>0.8415925967149511</v>
      </c>
      <c r="M127" s="40">
        <f>E127-квітень!E127</f>
        <v>2502</v>
      </c>
      <c r="N127" s="40">
        <f>F127-квітень!F127</f>
        <v>2674.43</v>
      </c>
      <c r="O127" s="53">
        <f aca="true" t="shared" si="45" ref="O127:O134">N127-M127</f>
        <v>172.42999999999984</v>
      </c>
      <c r="P127" s="60">
        <f>N127/M127*100</f>
        <v>106.89168665067945</v>
      </c>
      <c r="Q127" s="60">
        <f>N127-3456.6</f>
        <v>-782.1700000000001</v>
      </c>
      <c r="R127" s="162">
        <f>N127/3456.5</f>
        <v>0.77373933169391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</v>
      </c>
      <c r="G128" s="49">
        <f t="shared" si="43"/>
        <v>0.04</v>
      </c>
      <c r="H128" s="40"/>
      <c r="I128" s="60">
        <f t="shared" si="44"/>
        <v>0.04</v>
      </c>
      <c r="J128" s="60"/>
      <c r="K128" s="60">
        <f>F128-(-0.5)</f>
        <v>0.54</v>
      </c>
      <c r="L128" s="138">
        <f>F128/(-0.5)</f>
        <v>-0.08</v>
      </c>
      <c r="M128" s="40">
        <f>E128-квітень!E128</f>
        <v>0</v>
      </c>
      <c r="N128" s="40">
        <f>F128-квітень!F128</f>
        <v>0.31</v>
      </c>
      <c r="O128" s="53">
        <f t="shared" si="45"/>
        <v>0.31</v>
      </c>
      <c r="P128" s="60"/>
      <c r="Q128" s="60">
        <f>N128-0.1</f>
        <v>0.21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5032.86</v>
      </c>
      <c r="F129" s="38">
        <f>F127+F124+F128+F126</f>
        <v>5321.37</v>
      </c>
      <c r="G129" s="62">
        <f t="shared" si="43"/>
        <v>288.5100000000002</v>
      </c>
      <c r="H129" s="72">
        <f>F129/E129*100</f>
        <v>105.73252584017835</v>
      </c>
      <c r="I129" s="61">
        <f t="shared" si="44"/>
        <v>-3429.330000000001</v>
      </c>
      <c r="J129" s="61">
        <f>F129/D129*100</f>
        <v>60.81079227947478</v>
      </c>
      <c r="K129" s="61">
        <f>F129-2938.1</f>
        <v>2383.27</v>
      </c>
      <c r="L129" s="139">
        <f>G129/2938.1</f>
        <v>0.0981961131343386</v>
      </c>
      <c r="M129" s="62">
        <f>M124+M127+M128+M126</f>
        <v>2505</v>
      </c>
      <c r="N129" s="62">
        <f>N124+N127+N128+N126</f>
        <v>2675.7999999999997</v>
      </c>
      <c r="O129" s="61">
        <f t="shared" si="45"/>
        <v>170.79999999999973</v>
      </c>
      <c r="P129" s="61">
        <f>N129/M129*100</f>
        <v>106.81836327345309</v>
      </c>
      <c r="Q129" s="61">
        <f>N129-3458.2</f>
        <v>-782.4000000000001</v>
      </c>
      <c r="R129" s="137">
        <f>N129/3458.2</f>
        <v>0.7737551327280088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8.65</v>
      </c>
      <c r="F130" s="33">
        <v>13.15</v>
      </c>
      <c r="G130" s="49">
        <f>F130-E130</f>
        <v>4.5</v>
      </c>
      <c r="H130" s="40">
        <f>F130/E130*100</f>
        <v>152.02312138728325</v>
      </c>
      <c r="I130" s="60">
        <f>F130-D130</f>
        <v>-16.85</v>
      </c>
      <c r="J130" s="60">
        <f>F130/D130*100</f>
        <v>43.833333333333336</v>
      </c>
      <c r="K130" s="60">
        <f>F130-9.3</f>
        <v>3.8499999999999996</v>
      </c>
      <c r="L130" s="138">
        <f>F130/9.3</f>
        <v>1.4139784946236558</v>
      </c>
      <c r="M130" s="40">
        <f>E130-квітень!E130</f>
        <v>0.40000000000000036</v>
      </c>
      <c r="N130" s="40">
        <f>F130-квітень!F130</f>
        <v>0.9600000000000009</v>
      </c>
      <c r="O130" s="53">
        <f>N130-M130</f>
        <v>0.5600000000000005</v>
      </c>
      <c r="P130" s="60">
        <f>N130/M130*100</f>
        <v>240</v>
      </c>
      <c r="Q130" s="60">
        <f>N130-0.5</f>
        <v>0.46000000000000085</v>
      </c>
      <c r="R130" s="138">
        <f>N130/0.5</f>
        <v>1.9200000000000017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E131-квітень!E131</f>
        <v>0</v>
      </c>
      <c r="N131" s="40">
        <f>F131-квітень!F131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E132-квітень!E132</f>
        <v>0</v>
      </c>
      <c r="N132" s="40">
        <f>F132-квітень!F132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43618.97</v>
      </c>
      <c r="F133" s="31">
        <f>F116+F130+F123+F129+F132+F131</f>
        <v>45640.12</v>
      </c>
      <c r="G133" s="50">
        <f t="shared" si="43"/>
        <v>2021.1500000000015</v>
      </c>
      <c r="H133" s="51">
        <f>F133/E133*100</f>
        <v>104.63364907516157</v>
      </c>
      <c r="I133" s="36">
        <f t="shared" si="44"/>
        <v>-74401.37</v>
      </c>
      <c r="J133" s="36">
        <f>F133/D133*100</f>
        <v>38.02028781881997</v>
      </c>
      <c r="K133" s="36">
        <f>F133-47348.4</f>
        <v>-1708.2799999999988</v>
      </c>
      <c r="L133" s="136">
        <f>F133/47348.4</f>
        <v>0.9639210617465427</v>
      </c>
      <c r="M133" s="31">
        <f>M116+M130+M123+M129+M132+M131</f>
        <v>11326.89</v>
      </c>
      <c r="N133" s="31">
        <f>N116+N130+N123+N129+N132+N131</f>
        <v>12322.33</v>
      </c>
      <c r="O133" s="36">
        <f t="shared" si="45"/>
        <v>995.4400000000005</v>
      </c>
      <c r="P133" s="36">
        <f>N133/M133*100</f>
        <v>108.7882905192864</v>
      </c>
      <c r="Q133" s="36">
        <f>N133-10488.3</f>
        <v>1834.0300000000007</v>
      </c>
      <c r="R133" s="136">
        <f>N133/10488.3</f>
        <v>1.174864372681941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241230.23</v>
      </c>
      <c r="F134" s="31">
        <f>F106+F133</f>
        <v>235805.32000000004</v>
      </c>
      <c r="G134" s="50">
        <f t="shared" si="43"/>
        <v>-5424.909999999974</v>
      </c>
      <c r="H134" s="51">
        <f>F134/E134*100</f>
        <v>97.75114835317282</v>
      </c>
      <c r="I134" s="36">
        <f t="shared" si="44"/>
        <v>-391115.7699999999</v>
      </c>
      <c r="J134" s="36">
        <f>F134/D134*100</f>
        <v>37.61323773618783</v>
      </c>
      <c r="K134" s="36">
        <f>F134-242037.6</f>
        <v>-6232.27999999997</v>
      </c>
      <c r="L134" s="136">
        <f>F134/242037.6</f>
        <v>0.9742507775651388</v>
      </c>
      <c r="M134" s="22">
        <f>M106+M133</f>
        <v>50260.359999999986</v>
      </c>
      <c r="N134" s="22">
        <f>N106+N133</f>
        <v>52530.40000000001</v>
      </c>
      <c r="O134" s="36">
        <f t="shared" si="45"/>
        <v>2270.0400000000227</v>
      </c>
      <c r="P134" s="36">
        <f>N134/M134*100</f>
        <v>104.51656136167753</v>
      </c>
      <c r="Q134" s="36">
        <f>N134-48675.4</f>
        <v>3855.0000000000073</v>
      </c>
      <c r="R134" s="136">
        <f>N134/48675.4</f>
        <v>1.0791981165023812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>
        <f>IF(O106&lt;0,ABS(O106/C136),0)</f>
        <v>0</v>
      </c>
      <c r="D137" s="4" t="s">
        <v>104</v>
      </c>
      <c r="G137" s="194"/>
      <c r="H137" s="194"/>
      <c r="I137" s="194"/>
      <c r="J137" s="194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41789</v>
      </c>
      <c r="D138" s="39">
        <v>2970.6</v>
      </c>
      <c r="N138" s="195"/>
      <c r="O138" s="195"/>
    </row>
    <row r="139" spans="3:15" ht="15.75">
      <c r="C139" s="120">
        <v>41788</v>
      </c>
      <c r="D139" s="39">
        <v>5993.3</v>
      </c>
      <c r="F139" s="4" t="s">
        <v>166</v>
      </c>
      <c r="G139" s="196" t="s">
        <v>151</v>
      </c>
      <c r="H139" s="196"/>
      <c r="I139" s="115">
        <v>13825.22196</v>
      </c>
      <c r="J139" s="197" t="s">
        <v>161</v>
      </c>
      <c r="K139" s="197"/>
      <c r="L139" s="197"/>
      <c r="M139" s="197"/>
      <c r="N139" s="195"/>
      <c r="O139" s="195"/>
    </row>
    <row r="140" spans="3:15" ht="15.75">
      <c r="C140" s="120">
        <v>41787</v>
      </c>
      <c r="D140" s="39">
        <v>2595.2</v>
      </c>
      <c r="G140" s="200" t="s">
        <v>155</v>
      </c>
      <c r="H140" s="200"/>
      <c r="I140" s="112">
        <v>0</v>
      </c>
      <c r="J140" s="201" t="s">
        <v>162</v>
      </c>
      <c r="K140" s="201"/>
      <c r="L140" s="201"/>
      <c r="M140" s="201"/>
      <c r="N140" s="195"/>
      <c r="O140" s="195"/>
    </row>
    <row r="141" spans="7:13" ht="15.75" customHeight="1">
      <c r="G141" s="196" t="s">
        <v>148</v>
      </c>
      <c r="H141" s="196"/>
      <c r="I141" s="112">
        <v>0</v>
      </c>
      <c r="J141" s="197" t="s">
        <v>163</v>
      </c>
      <c r="K141" s="197"/>
      <c r="L141" s="197"/>
      <c r="M141" s="197"/>
    </row>
    <row r="142" spans="2:13" ht="18.75" customHeight="1">
      <c r="B142" s="202" t="s">
        <v>160</v>
      </c>
      <c r="C142" s="203"/>
      <c r="D142" s="117">
        <v>118982.48</v>
      </c>
      <c r="E142" s="80"/>
      <c r="F142" s="100" t="s">
        <v>147</v>
      </c>
      <c r="G142" s="196" t="s">
        <v>149</v>
      </c>
      <c r="H142" s="196"/>
      <c r="I142" s="116">
        <v>105157.26</v>
      </c>
      <c r="J142" s="197" t="s">
        <v>164</v>
      </c>
      <c r="K142" s="197"/>
      <c r="L142" s="197"/>
      <c r="M142" s="197"/>
    </row>
    <row r="143" spans="7:12" ht="9.75" customHeight="1">
      <c r="G143" s="204"/>
      <c r="H143" s="204"/>
      <c r="I143" s="98"/>
      <c r="J143" s="99"/>
      <c r="K143" s="99"/>
      <c r="L143" s="99"/>
    </row>
    <row r="144" spans="2:12" ht="22.5" customHeight="1">
      <c r="B144" s="205" t="s">
        <v>169</v>
      </c>
      <c r="C144" s="206"/>
      <c r="D144" s="119">
        <v>27359.4</v>
      </c>
      <c r="E144" s="77" t="s">
        <v>104</v>
      </c>
      <c r="G144" s="204"/>
      <c r="H144" s="204"/>
      <c r="I144" s="98"/>
      <c r="J144" s="99"/>
      <c r="K144" s="99"/>
      <c r="L144" s="99"/>
    </row>
    <row r="145" spans="4:15" ht="15.75">
      <c r="D145" s="114"/>
      <c r="N145" s="204"/>
      <c r="O145" s="204"/>
    </row>
    <row r="146" spans="4:15" ht="15.75">
      <c r="D146" s="113"/>
      <c r="I146" s="39"/>
      <c r="N146" s="207"/>
      <c r="O146" s="207"/>
    </row>
    <row r="147" spans="14:15" ht="15.75">
      <c r="N147" s="204"/>
      <c r="O147" s="20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6" right="0.2" top="0.29" bottom="0.34" header="0.24" footer="0.29"/>
  <pageSetup fitToHeight="1" fitToWidth="1" horizontalDpi="600" verticalDpi="6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74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3" sqref="F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69" t="s">
        <v>226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26"/>
      <c r="R1" s="127"/>
    </row>
    <row r="2" spans="2:18" s="1" customFormat="1" ht="15.75" customHeight="1">
      <c r="B2" s="170"/>
      <c r="C2" s="170"/>
      <c r="D2" s="17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1"/>
      <c r="B3" s="173"/>
      <c r="C3" s="174" t="s">
        <v>0</v>
      </c>
      <c r="D3" s="175" t="s">
        <v>224</v>
      </c>
      <c r="E3" s="175"/>
      <c r="F3" s="176" t="s">
        <v>107</v>
      </c>
      <c r="G3" s="177"/>
      <c r="H3" s="177"/>
      <c r="I3" s="177"/>
      <c r="J3" s="177"/>
      <c r="K3" s="177"/>
      <c r="L3" s="178"/>
      <c r="M3" s="179" t="s">
        <v>225</v>
      </c>
      <c r="N3" s="168" t="s">
        <v>221</v>
      </c>
      <c r="O3" s="168"/>
      <c r="P3" s="168"/>
      <c r="Q3" s="168"/>
      <c r="R3" s="168"/>
    </row>
    <row r="4" spans="1:18" ht="22.5" customHeight="1">
      <c r="A4" s="171"/>
      <c r="B4" s="173"/>
      <c r="C4" s="174"/>
      <c r="D4" s="175"/>
      <c r="E4" s="175"/>
      <c r="F4" s="180" t="s">
        <v>116</v>
      </c>
      <c r="G4" s="182" t="s">
        <v>217</v>
      </c>
      <c r="H4" s="184" t="s">
        <v>218</v>
      </c>
      <c r="I4" s="186" t="s">
        <v>188</v>
      </c>
      <c r="J4" s="188" t="s">
        <v>189</v>
      </c>
      <c r="K4" s="190" t="s">
        <v>219</v>
      </c>
      <c r="L4" s="191"/>
      <c r="M4" s="167"/>
      <c r="N4" s="198" t="s">
        <v>227</v>
      </c>
      <c r="O4" s="186" t="s">
        <v>136</v>
      </c>
      <c r="P4" s="186" t="s">
        <v>135</v>
      </c>
      <c r="Q4" s="190" t="s">
        <v>222</v>
      </c>
      <c r="R4" s="191"/>
    </row>
    <row r="5" spans="1:18" ht="82.5" customHeight="1">
      <c r="A5" s="172"/>
      <c r="B5" s="173"/>
      <c r="C5" s="174"/>
      <c r="D5" s="150" t="s">
        <v>209</v>
      </c>
      <c r="E5" s="158" t="s">
        <v>216</v>
      </c>
      <c r="F5" s="181"/>
      <c r="G5" s="183"/>
      <c r="H5" s="185"/>
      <c r="I5" s="187"/>
      <c r="J5" s="189"/>
      <c r="K5" s="192"/>
      <c r="L5" s="193"/>
      <c r="M5" s="151" t="s">
        <v>220</v>
      </c>
      <c r="N5" s="199"/>
      <c r="O5" s="187"/>
      <c r="P5" s="187"/>
      <c r="Q5" s="192"/>
      <c r="R5" s="193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145761.76</v>
      </c>
      <c r="G8" s="22">
        <f aca="true" t="shared" si="0" ref="G8:G30">F8-E8</f>
        <v>-8459.330000000016</v>
      </c>
      <c r="H8" s="51">
        <f>F8/E8*100</f>
        <v>94.51480339037934</v>
      </c>
      <c r="I8" s="36">
        <f aca="true" t="shared" si="1" ref="I8:I17">F8-D8</f>
        <v>-342714.54</v>
      </c>
      <c r="J8" s="36">
        <f aca="true" t="shared" si="2" ref="J8:J14">F8/D8*100</f>
        <v>29.840088454649695</v>
      </c>
      <c r="K8" s="36">
        <f>F8-151112.7</f>
        <v>-5350.940000000002</v>
      </c>
      <c r="L8" s="136">
        <f>F8/151112.7</f>
        <v>0.9645897399755282</v>
      </c>
      <c r="M8" s="22">
        <f>M10+M19+M33+M56+M68+M30</f>
        <v>38983.18999999999</v>
      </c>
      <c r="N8" s="22">
        <f>N10+N19+N33+N56+N68+N30</f>
        <v>38152.74999999999</v>
      </c>
      <c r="O8" s="36">
        <f aca="true" t="shared" si="3" ref="O8:O71">N8-M8</f>
        <v>-830.439999999995</v>
      </c>
      <c r="P8" s="36">
        <f>F8/M8*100</f>
        <v>373.90926704561645</v>
      </c>
      <c r="Q8" s="36">
        <f>N8-40194.7</f>
        <v>-2041.9500000000044</v>
      </c>
      <c r="R8" s="134">
        <f>N8/40194.7</f>
        <v>0.9491985261738487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117120.15</v>
      </c>
      <c r="G9" s="22">
        <f t="shared" si="0"/>
        <v>117120.15</v>
      </c>
      <c r="H9" s="20"/>
      <c r="I9" s="56">
        <f t="shared" si="1"/>
        <v>-269893.05000000005</v>
      </c>
      <c r="J9" s="56">
        <f t="shared" si="2"/>
        <v>30.26257243938966</v>
      </c>
      <c r="K9" s="56"/>
      <c r="L9" s="135"/>
      <c r="M9" s="20">
        <f>M10+M17</f>
        <v>32246.59999999999</v>
      </c>
      <c r="N9" s="20">
        <f>N10+N17</f>
        <v>31073.539999999994</v>
      </c>
      <c r="O9" s="36">
        <f t="shared" si="3"/>
        <v>-1173.0599999999977</v>
      </c>
      <c r="P9" s="56">
        <f>F9/M9*100</f>
        <v>363.2015468297434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117120.15</v>
      </c>
      <c r="G10" s="49">
        <f t="shared" si="0"/>
        <v>-8583.050000000003</v>
      </c>
      <c r="H10" s="40">
        <f aca="true" t="shared" si="4" ref="H10:H17">F10/E10*100</f>
        <v>93.17197175569119</v>
      </c>
      <c r="I10" s="56">
        <f t="shared" si="1"/>
        <v>-269893.05000000005</v>
      </c>
      <c r="J10" s="56">
        <f t="shared" si="2"/>
        <v>30.26257243938966</v>
      </c>
      <c r="K10" s="141">
        <f>F10-117271.4</f>
        <v>-151.25</v>
      </c>
      <c r="L10" s="142">
        <f>F10/117271.4</f>
        <v>0.998710256720735</v>
      </c>
      <c r="M10" s="40">
        <f>E10-березень!E10</f>
        <v>32246.59999999999</v>
      </c>
      <c r="N10" s="40">
        <f>F10-березень!F10</f>
        <v>31073.539999999994</v>
      </c>
      <c r="O10" s="53">
        <f t="shared" si="3"/>
        <v>-1173.0599999999977</v>
      </c>
      <c r="P10" s="56">
        <f aca="true" t="shared" si="5" ref="P10:P17">N10/M10*100</f>
        <v>96.36222113339082</v>
      </c>
      <c r="Q10" s="141">
        <f>N10-32056.3</f>
        <v>-982.7600000000057</v>
      </c>
      <c r="R10" s="142">
        <f>N10/32056.3</f>
        <v>0.9693426877088122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552.92</v>
      </c>
      <c r="G19" s="49">
        <f t="shared" si="0"/>
        <v>-446.68000000000006</v>
      </c>
      <c r="H19" s="40">
        <f aca="true" t="shared" si="6" ref="H19:H29">F19/E19*100</f>
        <v>55.3141256502601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F19-4735.9</f>
        <v>-4182.98</v>
      </c>
      <c r="L19" s="135">
        <f>F19/4735.9</f>
        <v>0.11675077598766866</v>
      </c>
      <c r="M19" s="40">
        <f>E19-березень!E19</f>
        <v>-228.9999999999999</v>
      </c>
      <c r="N19" s="40">
        <f>F19-березень!F19</f>
        <v>-262.76</v>
      </c>
      <c r="O19" s="53">
        <f t="shared" si="3"/>
        <v>-33.760000000000105</v>
      </c>
      <c r="P19" s="56">
        <f aca="true" t="shared" si="9" ref="P19:P29">N19/M19*100</f>
        <v>114.74235807860266</v>
      </c>
      <c r="Q19" s="56">
        <f>N19-450.5</f>
        <v>-713.26</v>
      </c>
      <c r="R19" s="135">
        <f>N19/450.5</f>
        <v>-0.5832630410654828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783.18</v>
      </c>
      <c r="G29" s="49">
        <f t="shared" si="0"/>
        <v>43.57999999999993</v>
      </c>
      <c r="H29" s="40">
        <f t="shared" si="6"/>
        <v>105.89237425635478</v>
      </c>
      <c r="I29" s="56">
        <f t="shared" si="7"/>
        <v>-146.82000000000005</v>
      </c>
      <c r="J29" s="56">
        <f t="shared" si="8"/>
        <v>84.21290322580644</v>
      </c>
      <c r="K29" s="148">
        <f>F29-1169.5</f>
        <v>-386.32000000000005</v>
      </c>
      <c r="L29" s="149">
        <f>F29/1169.5</f>
        <v>0.6696707994869602</v>
      </c>
      <c r="M29" s="40">
        <f>E29-березень!E29</f>
        <v>11</v>
      </c>
      <c r="N29" s="40">
        <f>F29-березень!F29</f>
        <v>32.01999999999998</v>
      </c>
      <c r="O29" s="148">
        <f t="shared" si="3"/>
        <v>21.019999999999982</v>
      </c>
      <c r="P29" s="145">
        <f t="shared" si="9"/>
        <v>291.09090909090895</v>
      </c>
      <c r="Q29" s="148">
        <f>N29-438.2</f>
        <v>-406.18</v>
      </c>
      <c r="R29" s="149">
        <f>N29/438.2</f>
        <v>0.07307165677772702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25917.42</v>
      </c>
      <c r="G33" s="49">
        <f aca="true" t="shared" si="14" ref="G33:G72">F33-E33</f>
        <v>646.8299999999981</v>
      </c>
      <c r="H33" s="40">
        <f aca="true" t="shared" si="15" ref="H33:H67">F33/E33*100</f>
        <v>102.55961574304358</v>
      </c>
      <c r="I33" s="56">
        <f>F33-D33</f>
        <v>-67648.58</v>
      </c>
      <c r="J33" s="56">
        <f aca="true" t="shared" si="16" ref="J33:J72">F33/D33*100</f>
        <v>27.69961310732531</v>
      </c>
      <c r="K33" s="141">
        <f>F33-26928.2</f>
        <v>-1010.7800000000025</v>
      </c>
      <c r="L33" s="142">
        <f>F33/26928.2</f>
        <v>0.9624638854435127</v>
      </c>
      <c r="M33" s="40">
        <f>E33-березень!E33</f>
        <v>6412.09</v>
      </c>
      <c r="N33" s="40">
        <f>F33-березень!F33</f>
        <v>6828.149999999998</v>
      </c>
      <c r="O33" s="53">
        <f t="shared" si="3"/>
        <v>416.0599999999977</v>
      </c>
      <c r="P33" s="56">
        <f aca="true" t="shared" si="17" ref="P33:P67">N33/M33*100</f>
        <v>106.48867997797906</v>
      </c>
      <c r="Q33" s="141">
        <f>N33-7165.5</f>
        <v>-337.3500000000022</v>
      </c>
      <c r="R33" s="142">
        <f>N33/7165.5</f>
        <v>0.9529202428302279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19395.4</v>
      </c>
      <c r="G55" s="144">
        <f t="shared" si="14"/>
        <v>585.1100000000006</v>
      </c>
      <c r="H55" s="146">
        <f t="shared" si="15"/>
        <v>103.11058468529725</v>
      </c>
      <c r="I55" s="145">
        <f t="shared" si="18"/>
        <v>-50870.6</v>
      </c>
      <c r="J55" s="145">
        <f t="shared" si="16"/>
        <v>27.602823556200722</v>
      </c>
      <c r="K55" s="148">
        <f>F55-19428.9</f>
        <v>-33.5</v>
      </c>
      <c r="L55" s="149">
        <f>F55/19428.9</f>
        <v>0.9982757644539835</v>
      </c>
      <c r="M55" s="40">
        <f>E55-березень!E55</f>
        <v>4792.090000000002</v>
      </c>
      <c r="N55" s="40">
        <f>F55-березень!F55</f>
        <v>5198.390000000001</v>
      </c>
      <c r="O55" s="148">
        <f t="shared" si="3"/>
        <v>406.2999999999993</v>
      </c>
      <c r="P55" s="148">
        <f t="shared" si="17"/>
        <v>108.47855528589821</v>
      </c>
      <c r="Q55" s="160">
        <f>N55-4813.7</f>
        <v>384.6900000000014</v>
      </c>
      <c r="R55" s="161">
        <f>N55/4813.7</f>
        <v>1.0799156573945201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2167.48</v>
      </c>
      <c r="G56" s="49">
        <f t="shared" si="14"/>
        <v>-70.61999999999989</v>
      </c>
      <c r="H56" s="40">
        <f t="shared" si="15"/>
        <v>96.8446450113936</v>
      </c>
      <c r="I56" s="56">
        <f t="shared" si="18"/>
        <v>-4692.52</v>
      </c>
      <c r="J56" s="56">
        <f t="shared" si="16"/>
        <v>31.595918367346936</v>
      </c>
      <c r="K56" s="56">
        <f>F56-2151.9</f>
        <v>15.579999999999927</v>
      </c>
      <c r="L56" s="135">
        <f>F56/2151.9</f>
        <v>1.0072401133881685</v>
      </c>
      <c r="M56" s="40">
        <f>E56-березень!E56</f>
        <v>553</v>
      </c>
      <c r="N56" s="40">
        <f>F56-березень!F56</f>
        <v>513.77</v>
      </c>
      <c r="O56" s="53">
        <f t="shared" si="3"/>
        <v>-39.23000000000002</v>
      </c>
      <c r="P56" s="56">
        <f t="shared" si="17"/>
        <v>92.90596745027125</v>
      </c>
      <c r="Q56" s="56">
        <f>N56-522.5</f>
        <v>-8.730000000000018</v>
      </c>
      <c r="R56" s="135">
        <f>N56/522.5</f>
        <v>0.9832918660287081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4186.320000000001</v>
      </c>
      <c r="G74" s="50">
        <f aca="true" t="shared" si="24" ref="G74:G92">F74-E74</f>
        <v>-261.1799999999994</v>
      </c>
      <c r="H74" s="51">
        <f aca="true" t="shared" si="25" ref="H74:H87">F74/E74*100</f>
        <v>94.1274873524452</v>
      </c>
      <c r="I74" s="36">
        <f aca="true" t="shared" si="26" ref="I74:I92">F74-D74</f>
        <v>-14171.98</v>
      </c>
      <c r="J74" s="36">
        <f aca="true" t="shared" si="27" ref="J74:J92">F74/D74*100</f>
        <v>22.80341861719223</v>
      </c>
      <c r="K74" s="36">
        <f>F74-5374.8</f>
        <v>-1188.4799999999996</v>
      </c>
      <c r="L74" s="136">
        <f>F74/5374.8</f>
        <v>0.7788792141102926</v>
      </c>
      <c r="M74" s="22">
        <f>M77+M86+M88+M89+M94+M95+M96+M97+M99+M87+M103</f>
        <v>1615.5</v>
      </c>
      <c r="N74" s="22">
        <f>N77+N86+N88+N89+N94+N95+N96+N97+N99+N32+N103+N87</f>
        <v>1066.77</v>
      </c>
      <c r="O74" s="55">
        <f aca="true" t="shared" si="28" ref="O74:O92">N74-M74</f>
        <v>-548.73</v>
      </c>
      <c r="P74" s="36">
        <f>N74/M74*100</f>
        <v>66.03342618384401</v>
      </c>
      <c r="Q74" s="36">
        <f>N74-1526</f>
        <v>-459.23</v>
      </c>
      <c r="R74" s="136">
        <f>N74/1526</f>
        <v>0.6990629095674967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34.44</v>
      </c>
      <c r="G89" s="49">
        <f t="shared" si="24"/>
        <v>-19.560000000000002</v>
      </c>
      <c r="H89" s="40">
        <f>F89/E89*100</f>
        <v>63.77777777777778</v>
      </c>
      <c r="I89" s="56">
        <f t="shared" si="26"/>
        <v>-140.56</v>
      </c>
      <c r="J89" s="56">
        <f t="shared" si="27"/>
        <v>19.679999999999996</v>
      </c>
      <c r="K89" s="56">
        <f>F89-66.3</f>
        <v>-31.86</v>
      </c>
      <c r="L89" s="135">
        <f>F89/66.3</f>
        <v>0.5194570135746607</v>
      </c>
      <c r="M89" s="40">
        <f>E89-березень!E89</f>
        <v>15</v>
      </c>
      <c r="N89" s="40">
        <f>F89-березень!F89</f>
        <v>7.669999999999998</v>
      </c>
      <c r="O89" s="53">
        <f t="shared" si="28"/>
        <v>-7.330000000000002</v>
      </c>
      <c r="P89" s="56">
        <f>N89/M89*100</f>
        <v>51.13333333333332</v>
      </c>
      <c r="Q89" s="56">
        <f>N89-18.8</f>
        <v>-11.130000000000003</v>
      </c>
      <c r="R89" s="135">
        <f>N89/18.8</f>
        <v>0.40797872340425523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279.59</v>
      </c>
      <c r="G96" s="49">
        <f t="shared" si="31"/>
        <v>-14.910000000000025</v>
      </c>
      <c r="H96" s="40">
        <f>F96/E96*100</f>
        <v>94.937181663837</v>
      </c>
      <c r="I96" s="56">
        <f t="shared" si="32"/>
        <v>-920.4100000000001</v>
      </c>
      <c r="J96" s="56">
        <f>F96/D96*100</f>
        <v>23.299166666666665</v>
      </c>
      <c r="K96" s="56">
        <f>F96-305.5</f>
        <v>-25.910000000000025</v>
      </c>
      <c r="L96" s="135">
        <f>F96/305.5</f>
        <v>0.9151882160392798</v>
      </c>
      <c r="M96" s="40">
        <f>E96-березень!E96</f>
        <v>70</v>
      </c>
      <c r="N96" s="40">
        <f>F96-березень!F96</f>
        <v>80.71999999999997</v>
      </c>
      <c r="O96" s="53">
        <f t="shared" si="33"/>
        <v>10.71999999999997</v>
      </c>
      <c r="P96" s="56">
        <f>N96/M96*100</f>
        <v>115.31428571428567</v>
      </c>
      <c r="Q96" s="56">
        <f>N96-144</f>
        <v>-63.28000000000003</v>
      </c>
      <c r="R96" s="135">
        <f>N96/144</f>
        <v>0.5605555555555554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1238.46</v>
      </c>
      <c r="G99" s="49">
        <f t="shared" si="31"/>
        <v>61.460000000000036</v>
      </c>
      <c r="H99" s="40">
        <f>F99/E99*100</f>
        <v>105.22175021240443</v>
      </c>
      <c r="I99" s="56">
        <f t="shared" si="32"/>
        <v>-3334.24</v>
      </c>
      <c r="J99" s="56">
        <f>F99/D99*100</f>
        <v>27.083779823736524</v>
      </c>
      <c r="K99" s="56">
        <f>F99-994.9</f>
        <v>243.56000000000006</v>
      </c>
      <c r="L99" s="135">
        <f>F99/994.9</f>
        <v>1.2448085234696955</v>
      </c>
      <c r="M99" s="40">
        <f>E99-березень!E99</f>
        <v>400</v>
      </c>
      <c r="N99" s="40">
        <f>F99-березень!F99</f>
        <v>324.61</v>
      </c>
      <c r="O99" s="53">
        <f t="shared" si="33"/>
        <v>-75.38999999999999</v>
      </c>
      <c r="P99" s="56">
        <f>N99/M99*100</f>
        <v>81.1525</v>
      </c>
      <c r="Q99" s="56">
        <f>N99-264.3</f>
        <v>60.31</v>
      </c>
      <c r="R99" s="135">
        <f>N99/264.3</f>
        <v>1.2281876655315929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234.65</v>
      </c>
      <c r="G102" s="144"/>
      <c r="H102" s="146"/>
      <c r="I102" s="145"/>
      <c r="J102" s="145"/>
      <c r="K102" s="148">
        <f>F102-139.6</f>
        <v>95.05000000000001</v>
      </c>
      <c r="L102" s="149">
        <f>F102/139.6</f>
        <v>1.6808739255014327</v>
      </c>
      <c r="M102" s="40">
        <f>E102-березень!E102</f>
        <v>0</v>
      </c>
      <c r="N102" s="40">
        <f>F102-березень!F102</f>
        <v>62.08000000000001</v>
      </c>
      <c r="O102" s="53"/>
      <c r="P102" s="60"/>
      <c r="Q102" s="60">
        <f>N102-51</f>
        <v>11.080000000000013</v>
      </c>
      <c r="R102" s="138">
        <f>N102/51</f>
        <v>1.2172549019607846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9.01</v>
      </c>
      <c r="G104" s="49">
        <f>F104-E104</f>
        <v>-0.1899999999999995</v>
      </c>
      <c r="H104" s="40">
        <f>F104/E104*100</f>
        <v>97.93478260869566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F104-12.1</f>
        <v>-3.09</v>
      </c>
      <c r="L104" s="135">
        <f>F104/12.1</f>
        <v>0.7446280991735538</v>
      </c>
      <c r="M104" s="40">
        <f>E104-березень!E104</f>
        <v>2.999999999999999</v>
      </c>
      <c r="N104" s="40">
        <f>F104-березень!F104</f>
        <v>3.0999999999999996</v>
      </c>
      <c r="O104" s="53">
        <f t="shared" si="35"/>
        <v>0.10000000000000053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149957.13000000003</v>
      </c>
      <c r="G106" s="50">
        <f>F106-E106</f>
        <v>-8720.660000000003</v>
      </c>
      <c r="H106" s="51">
        <f>F106/E106*100</f>
        <v>94.5041709996087</v>
      </c>
      <c r="I106" s="36">
        <f t="shared" si="34"/>
        <v>-356922.47</v>
      </c>
      <c r="J106" s="36">
        <f t="shared" si="36"/>
        <v>29.58436875344757</v>
      </c>
      <c r="K106" s="36">
        <f>F106-156502.1</f>
        <v>-6544.969999999972</v>
      </c>
      <c r="L106" s="136">
        <f>F106/156502.1</f>
        <v>0.9581796665987231</v>
      </c>
      <c r="M106" s="22">
        <f>M8+M74+M104+M105</f>
        <v>40601.68999999999</v>
      </c>
      <c r="N106" s="22">
        <f>N8+N74+N104+N105</f>
        <v>39222.61999999999</v>
      </c>
      <c r="O106" s="55">
        <f t="shared" si="35"/>
        <v>-1379.0699999999997</v>
      </c>
      <c r="P106" s="36">
        <f>N106/M106*100</f>
        <v>96.60341724691756</v>
      </c>
      <c r="Q106" s="36">
        <f>N106-41720.7</f>
        <v>-2498.080000000009</v>
      </c>
      <c r="R106" s="136">
        <f>N106/41720.7</f>
        <v>0.9401237275501128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117399.73999999999</v>
      </c>
      <c r="G107" s="71">
        <f>G10-G18+G96</f>
        <v>-8597.960000000003</v>
      </c>
      <c r="H107" s="72">
        <f>F107/E107*100</f>
        <v>93.17609765892551</v>
      </c>
      <c r="I107" s="52">
        <f t="shared" si="34"/>
        <v>-270813.46</v>
      </c>
      <c r="J107" s="52">
        <f t="shared" si="36"/>
        <v>30.241047960244522</v>
      </c>
      <c r="K107" s="52">
        <f>F107-117642.3</f>
        <v>-242.56000000001222</v>
      </c>
      <c r="L107" s="137">
        <f>F107/117642.3</f>
        <v>0.9979381565984343</v>
      </c>
      <c r="M107" s="71">
        <f>M10-M18+M96</f>
        <v>32316.59999999999</v>
      </c>
      <c r="N107" s="71">
        <f>N10-N18+N96</f>
        <v>31154.259999999995</v>
      </c>
      <c r="O107" s="53">
        <f t="shared" si="35"/>
        <v>-1162.3399999999965</v>
      </c>
      <c r="P107" s="52">
        <f>N107/M107*100</f>
        <v>96.40327262150103</v>
      </c>
      <c r="Q107" s="52">
        <f>N107-32216.7</f>
        <v>-1062.440000000006</v>
      </c>
      <c r="R107" s="137">
        <f>N107/32216.7</f>
        <v>0.9670220724034427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32557.390000000043</v>
      </c>
      <c r="G108" s="62">
        <f>F108-E108</f>
        <v>-122.69999999999709</v>
      </c>
      <c r="H108" s="72">
        <f>F108/E108*100</f>
        <v>99.62454203767493</v>
      </c>
      <c r="I108" s="52">
        <f t="shared" si="34"/>
        <v>-86109.00999999992</v>
      </c>
      <c r="J108" s="52">
        <f t="shared" si="36"/>
        <v>27.436064463066252</v>
      </c>
      <c r="K108" s="52">
        <f>F108-38859.8</f>
        <v>-6302.40999999996</v>
      </c>
      <c r="L108" s="137">
        <f>F108/38859.8</f>
        <v>0.8378167154746046</v>
      </c>
      <c r="M108" s="71">
        <f>M106-M107</f>
        <v>8285.089999999997</v>
      </c>
      <c r="N108" s="71">
        <f>N106-N107</f>
        <v>8068.359999999993</v>
      </c>
      <c r="O108" s="53">
        <f t="shared" si="35"/>
        <v>-216.7300000000032</v>
      </c>
      <c r="P108" s="52">
        <f>N108/M108*100</f>
        <v>97.38409600861301</v>
      </c>
      <c r="Q108" s="52">
        <f>N108-9504</f>
        <v>-1435.6400000000067</v>
      </c>
      <c r="R108" s="137">
        <f>N108/9504</f>
        <v>0.848943602693602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117399.73999999999</v>
      </c>
      <c r="G109" s="111">
        <f>F109-E109</f>
        <v>-3228.060000000012</v>
      </c>
      <c r="H109" s="72">
        <f>F109/E109*100</f>
        <v>97.3239502005342</v>
      </c>
      <c r="I109" s="81">
        <f t="shared" si="34"/>
        <v>-270813.46</v>
      </c>
      <c r="J109" s="52">
        <f t="shared" si="36"/>
        <v>30.241047960244522</v>
      </c>
      <c r="K109" s="52"/>
      <c r="L109" s="137"/>
      <c r="M109" s="72">
        <f>E109-березень!E109</f>
        <v>32316.600000000006</v>
      </c>
      <c r="N109" s="71">
        <f>N107</f>
        <v>31154.259999999995</v>
      </c>
      <c r="O109" s="118">
        <f t="shared" si="35"/>
        <v>-1162.340000000011</v>
      </c>
      <c r="P109" s="52">
        <f>N109/M109*100</f>
        <v>96.40327262150099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374.99</v>
      </c>
      <c r="G114" s="49">
        <f t="shared" si="37"/>
        <v>-667.1099999999999</v>
      </c>
      <c r="H114" s="40">
        <f aca="true" t="shared" si="39" ref="H114:H125">F114/E114*100</f>
        <v>35.98407062661933</v>
      </c>
      <c r="I114" s="60">
        <f t="shared" si="38"/>
        <v>-3296.51</v>
      </c>
      <c r="J114" s="60">
        <f aca="true" t="shared" si="40" ref="J114:J120">F114/D114*100</f>
        <v>10.213536701620592</v>
      </c>
      <c r="K114" s="60">
        <f>F114-1203.2</f>
        <v>-828.21</v>
      </c>
      <c r="L114" s="138">
        <f>F114/1203.2</f>
        <v>0.31166057180851064</v>
      </c>
      <c r="M114" s="40">
        <f>E114-березень!E114</f>
        <v>327.4999999999999</v>
      </c>
      <c r="N114" s="40">
        <f>F114-березень!F114</f>
        <v>91.34000000000003</v>
      </c>
      <c r="O114" s="53">
        <f aca="true" t="shared" si="41" ref="O114:O125">N114-M114</f>
        <v>-236.15999999999985</v>
      </c>
      <c r="P114" s="60">
        <f>N114/M114*100</f>
        <v>27.890076335877882</v>
      </c>
      <c r="Q114" s="60">
        <f>N114-368.9</f>
        <v>-277.55999999999995</v>
      </c>
      <c r="R114" s="138">
        <f>N114/368.9</f>
        <v>0.24760097587422075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470.57000000000005</v>
      </c>
      <c r="G116" s="62">
        <f t="shared" si="37"/>
        <v>-662.0299999999999</v>
      </c>
      <c r="H116" s="72">
        <f t="shared" si="39"/>
        <v>41.54776620165991</v>
      </c>
      <c r="I116" s="61">
        <f t="shared" si="38"/>
        <v>-3469.0299999999997</v>
      </c>
      <c r="J116" s="61">
        <f t="shared" si="40"/>
        <v>11.94461366636207</v>
      </c>
      <c r="K116" s="61">
        <f>F116-1294.2</f>
        <v>-823.63</v>
      </c>
      <c r="L116" s="139">
        <f>F116/1294.2</f>
        <v>0.36359913460052545</v>
      </c>
      <c r="M116" s="62">
        <f>M114+M115+M113</f>
        <v>349.4999999999999</v>
      </c>
      <c r="N116" s="38">
        <f>SUM(N113:N115)</f>
        <v>119.11000000000004</v>
      </c>
      <c r="O116" s="61">
        <f t="shared" si="41"/>
        <v>-230.38999999999984</v>
      </c>
      <c r="P116" s="61">
        <f>N116/M116*100</f>
        <v>34.080114449213184</v>
      </c>
      <c r="Q116" s="61">
        <f>N116-391.8</f>
        <v>-272.68999999999994</v>
      </c>
      <c r="R116" s="139">
        <f>N116/391.8</f>
        <v>0.3040071465033181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127.86</v>
      </c>
      <c r="G118" s="49">
        <f t="shared" si="37"/>
        <v>21.36</v>
      </c>
      <c r="H118" s="40">
        <f t="shared" si="39"/>
        <v>120.05633802816902</v>
      </c>
      <c r="I118" s="60">
        <f t="shared" si="38"/>
        <v>-139.33999999999997</v>
      </c>
      <c r="J118" s="60">
        <f t="shared" si="40"/>
        <v>47.85179640718563</v>
      </c>
      <c r="K118" s="60">
        <f>F118-88.4</f>
        <v>39.459999999999994</v>
      </c>
      <c r="L118" s="138">
        <f>F118/88.4</f>
        <v>1.4463800904977375</v>
      </c>
      <c r="M118" s="40">
        <f>E118-березень!E118</f>
        <v>106.5</v>
      </c>
      <c r="N118" s="40">
        <f>F118-березень!F118</f>
        <v>26.39</v>
      </c>
      <c r="O118" s="53">
        <f>N118-M118</f>
        <v>-80.11</v>
      </c>
      <c r="P118" s="60">
        <f>N118/M118*100</f>
        <v>24.779342723004696</v>
      </c>
      <c r="Q118" s="60">
        <f>N118-80.7</f>
        <v>-54.31</v>
      </c>
      <c r="R118" s="138">
        <f>N118/80.7</f>
        <v>0.32701363073110284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25112.6</v>
      </c>
      <c r="F119" s="33">
        <v>26561.84</v>
      </c>
      <c r="G119" s="49">
        <f t="shared" si="37"/>
        <v>1449.2400000000016</v>
      </c>
      <c r="H119" s="40">
        <f t="shared" si="39"/>
        <v>105.77096756210031</v>
      </c>
      <c r="I119" s="53">
        <f t="shared" si="38"/>
        <v>-45414.15000000001</v>
      </c>
      <c r="J119" s="60">
        <f t="shared" si="40"/>
        <v>36.9037508202388</v>
      </c>
      <c r="K119" s="60">
        <f>F119-23645.2</f>
        <v>2916.6399999999994</v>
      </c>
      <c r="L119" s="138">
        <f>F119/23645.2</f>
        <v>1.123350193696818</v>
      </c>
      <c r="M119" s="40">
        <f>E119-березень!E119</f>
        <v>6500</v>
      </c>
      <c r="N119" s="40">
        <f>F119-березень!F119</f>
        <v>6866.799999999999</v>
      </c>
      <c r="O119" s="53">
        <f t="shared" si="41"/>
        <v>366.7999999999993</v>
      </c>
      <c r="P119" s="60">
        <f aca="true" t="shared" si="42" ref="P119:P124">N119/M119*100</f>
        <v>105.6430769230769</v>
      </c>
      <c r="Q119" s="60">
        <f>N119-6401.1</f>
        <v>465.6999999999989</v>
      </c>
      <c r="R119" s="138">
        <f>N119/6401.1</f>
        <v>1.0727531205574041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1441</v>
      </c>
      <c r="F120" s="33">
        <v>1435</v>
      </c>
      <c r="G120" s="49">
        <f t="shared" si="37"/>
        <v>-6</v>
      </c>
      <c r="H120" s="40">
        <f t="shared" si="39"/>
        <v>99.58362248438584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1441</v>
      </c>
      <c r="N120" s="40">
        <f>F120-березень!F120</f>
        <v>916.37</v>
      </c>
      <c r="O120" s="53">
        <f t="shared" si="41"/>
        <v>-524.63</v>
      </c>
      <c r="P120" s="60">
        <f t="shared" si="42"/>
        <v>63.59264399722415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1480</v>
      </c>
      <c r="F121" s="33">
        <v>1487.49</v>
      </c>
      <c r="G121" s="49">
        <f t="shared" si="37"/>
        <v>7.490000000000009</v>
      </c>
      <c r="H121" s="40">
        <f t="shared" si="39"/>
        <v>100.50608108108108</v>
      </c>
      <c r="I121" s="60">
        <f t="shared" si="38"/>
        <v>-21590.51</v>
      </c>
      <c r="J121" s="60">
        <f>F121/D121*100</f>
        <v>6.445489210503511</v>
      </c>
      <c r="K121" s="60">
        <f>F121-7276</f>
        <v>-5788.51</v>
      </c>
      <c r="L121" s="138">
        <f>F121/7276</f>
        <v>0.2044378779549203</v>
      </c>
      <c r="M121" s="40">
        <f>E121-березень!E121</f>
        <v>1480</v>
      </c>
      <c r="N121" s="40">
        <f>F121-березень!F121</f>
        <v>343.53</v>
      </c>
      <c r="O121" s="53">
        <f t="shared" si="41"/>
        <v>-1136.47</v>
      </c>
      <c r="P121" s="60">
        <f t="shared" si="42"/>
        <v>23.211486486486486</v>
      </c>
      <c r="Q121" s="60">
        <f>N121-282.5</f>
        <v>61.02999999999997</v>
      </c>
      <c r="R121" s="138">
        <f>N121/282.5</f>
        <v>1.2160353982300884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483.27</v>
      </c>
      <c r="F122" s="33">
        <v>577.27</v>
      </c>
      <c r="G122" s="49">
        <f t="shared" si="37"/>
        <v>94</v>
      </c>
      <c r="H122" s="40">
        <f t="shared" si="39"/>
        <v>119.45082459080845</v>
      </c>
      <c r="I122" s="60">
        <f t="shared" si="38"/>
        <v>-1422.73</v>
      </c>
      <c r="J122" s="60">
        <f>F122/D122*100</f>
        <v>28.8635</v>
      </c>
      <c r="K122" s="60">
        <f>F122-1170.5</f>
        <v>-593.23</v>
      </c>
      <c r="L122" s="138">
        <f>F122/1170.5</f>
        <v>0.4931824006834686</v>
      </c>
      <c r="M122" s="40">
        <f>E122-березень!E122</f>
        <v>483.27</v>
      </c>
      <c r="N122" s="40">
        <f>F122-березень!F122</f>
        <v>113.34999999999997</v>
      </c>
      <c r="O122" s="53">
        <f t="shared" si="41"/>
        <v>-369.92</v>
      </c>
      <c r="P122" s="60">
        <f t="shared" si="42"/>
        <v>23.45479752519295</v>
      </c>
      <c r="Q122" s="60">
        <f>N122-856</f>
        <v>-742.6500000000001</v>
      </c>
      <c r="R122" s="138">
        <f>N122/865</f>
        <v>0.1310404624277456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28623.37</v>
      </c>
      <c r="F123" s="38">
        <f>F119+F120+F121+F122+F118</f>
        <v>30189.460000000003</v>
      </c>
      <c r="G123" s="62">
        <f t="shared" si="37"/>
        <v>1566.0900000000038</v>
      </c>
      <c r="H123" s="72">
        <f t="shared" si="39"/>
        <v>105.47136832595186</v>
      </c>
      <c r="I123" s="61">
        <f t="shared" si="38"/>
        <v>-77131.73</v>
      </c>
      <c r="J123" s="61">
        <f>F123/D123*100</f>
        <v>28.130008621782892</v>
      </c>
      <c r="K123" s="61">
        <f>F123-32616.1</f>
        <v>-2426.639999999996</v>
      </c>
      <c r="L123" s="139">
        <f>F123/32616.1</f>
        <v>0.9255999337750376</v>
      </c>
      <c r="M123" s="62">
        <f>M119+M120+M121+M122+M118</f>
        <v>10010.77</v>
      </c>
      <c r="N123" s="62">
        <f>N119+N120+N121+N122+N118</f>
        <v>8266.439999999999</v>
      </c>
      <c r="O123" s="61">
        <f t="shared" si="41"/>
        <v>-1744.3300000000017</v>
      </c>
      <c r="P123" s="61">
        <f t="shared" si="42"/>
        <v>82.57546622287795</v>
      </c>
      <c r="Q123" s="61">
        <f>N123-7775.9</f>
        <v>490.53999999999905</v>
      </c>
      <c r="R123" s="139">
        <f>N123/7775.9</f>
        <v>1.0630846590105325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2618.43</v>
      </c>
      <c r="G127" s="49">
        <f aca="true" t="shared" si="43" ref="G127:G134">F127-E127</f>
        <v>108.92999999999984</v>
      </c>
      <c r="H127" s="40">
        <f>F127/E127*100</f>
        <v>104.3407053197848</v>
      </c>
      <c r="I127" s="60">
        <f aca="true" t="shared" si="44" ref="I127:I134">F127-D127</f>
        <v>-6081.57</v>
      </c>
      <c r="J127" s="60">
        <f>F127/D127*100</f>
        <v>30.096896551724132</v>
      </c>
      <c r="K127" s="60">
        <f>F127-2832.5</f>
        <v>-214.07000000000016</v>
      </c>
      <c r="L127" s="138">
        <f>F127/2832.5</f>
        <v>0.924423654015887</v>
      </c>
      <c r="M127" s="40">
        <f>E127-березень!E127</f>
        <v>2</v>
      </c>
      <c r="N127" s="40">
        <f>F127-березень!F127</f>
        <v>14.679999999999836</v>
      </c>
      <c r="O127" s="53">
        <f aca="true" t="shared" si="45" ref="O127:O134">N127-M127</f>
        <v>12.679999999999836</v>
      </c>
      <c r="P127" s="60">
        <f>N127/M127*100</f>
        <v>733.9999999999918</v>
      </c>
      <c r="Q127" s="60">
        <f>N127-392.9</f>
        <v>-378.22000000000014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2645.57</v>
      </c>
      <c r="G129" s="62">
        <f t="shared" si="43"/>
        <v>117.71000000000049</v>
      </c>
      <c r="H129" s="72">
        <f>F129/E129*100</f>
        <v>104.65650787622734</v>
      </c>
      <c r="I129" s="61">
        <f t="shared" si="44"/>
        <v>-6105.130000000001</v>
      </c>
      <c r="J129" s="61">
        <f>F129/D129*100</f>
        <v>30.23266710091764</v>
      </c>
      <c r="K129" s="61">
        <f>F129-2938.1</f>
        <v>-292.52999999999975</v>
      </c>
      <c r="L129" s="139">
        <f>G129/2938.1</f>
        <v>0.04006330621830451</v>
      </c>
      <c r="M129" s="62">
        <f>M124+M127+M128+M126</f>
        <v>5</v>
      </c>
      <c r="N129" s="62">
        <f>N124+N127+N128+N126</f>
        <v>29.05999999999984</v>
      </c>
      <c r="O129" s="61">
        <f t="shared" si="45"/>
        <v>24.05999999999984</v>
      </c>
      <c r="P129" s="61">
        <f>N129/M129*100</f>
        <v>581.1999999999967</v>
      </c>
      <c r="Q129" s="61">
        <f>N129-393.8</f>
        <v>-364.7400000000002</v>
      </c>
      <c r="R129" s="137">
        <f>N129/393.8</f>
        <v>0.07379380396140131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12.19</v>
      </c>
      <c r="G130" s="49">
        <f>F130-E130</f>
        <v>3.9399999999999995</v>
      </c>
      <c r="H130" s="40">
        <f>F130/E130*100</f>
        <v>147.75757575757575</v>
      </c>
      <c r="I130" s="60">
        <f>F130-D130</f>
        <v>-17.810000000000002</v>
      </c>
      <c r="J130" s="60">
        <f>F130/D130*100</f>
        <v>40.63333333333333</v>
      </c>
      <c r="K130" s="60">
        <f>F130-8.8</f>
        <v>3.389999999999999</v>
      </c>
      <c r="L130" s="138">
        <f>F130/8.8</f>
        <v>1.3852272727272725</v>
      </c>
      <c r="M130" s="40">
        <f>E130-березень!E130</f>
        <v>0.40000000000000036</v>
      </c>
      <c r="N130" s="40">
        <f>F130-березень!F130</f>
        <v>1.2199999999999989</v>
      </c>
      <c r="O130" s="53">
        <f>N130-M130</f>
        <v>0.8199999999999985</v>
      </c>
      <c r="P130" s="60">
        <f>N130/M130*100</f>
        <v>304.99999999999943</v>
      </c>
      <c r="Q130" s="60">
        <f>N130-0.5</f>
        <v>0.7199999999999989</v>
      </c>
      <c r="R130" s="138">
        <f>N130/0.5</f>
        <v>2.4399999999999977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32292.079999999998</v>
      </c>
      <c r="F133" s="31">
        <f>F116+F130+F123+F129+F132+F131</f>
        <v>33317.79</v>
      </c>
      <c r="G133" s="50">
        <f t="shared" si="43"/>
        <v>1025.7100000000028</v>
      </c>
      <c r="H133" s="51">
        <f>F133/E133*100</f>
        <v>103.17635160076404</v>
      </c>
      <c r="I133" s="36">
        <f t="shared" si="44"/>
        <v>-86723.70000000001</v>
      </c>
      <c r="J133" s="36">
        <f>F133/D133*100</f>
        <v>27.75522862970128</v>
      </c>
      <c r="K133" s="36">
        <f>F133-36860.1</f>
        <v>-3542.3099999999977</v>
      </c>
      <c r="L133" s="136">
        <f>F133/36860.1</f>
        <v>0.9038985244207152</v>
      </c>
      <c r="M133" s="31">
        <f>M116+M130+M123+M129+M132+M131</f>
        <v>10365.67</v>
      </c>
      <c r="N133" s="31">
        <f>N116+N130+N123+N129+N132+N131</f>
        <v>8415.829999999998</v>
      </c>
      <c r="O133" s="36">
        <f t="shared" si="45"/>
        <v>-1949.840000000002</v>
      </c>
      <c r="P133" s="36">
        <f>N133/M133*100</f>
        <v>81.18944554476457</v>
      </c>
      <c r="Q133" s="36">
        <f>N133-8565.9</f>
        <v>-150.07000000000153</v>
      </c>
      <c r="R133" s="136">
        <f>N133/8564.9</f>
        <v>0.9825952433770386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190969.87000000002</v>
      </c>
      <c r="F134" s="31">
        <f>F106+F133</f>
        <v>183274.92000000004</v>
      </c>
      <c r="G134" s="50">
        <f t="shared" si="43"/>
        <v>-7694.9499999999825</v>
      </c>
      <c r="H134" s="51">
        <f>F134/E134*100</f>
        <v>95.97059473308539</v>
      </c>
      <c r="I134" s="36">
        <f t="shared" si="44"/>
        <v>-443646.1699999999</v>
      </c>
      <c r="J134" s="36">
        <f>F134/D134*100</f>
        <v>29.2341289714787</v>
      </c>
      <c r="K134" s="36">
        <f>F134-193362.2</f>
        <v>-10087.27999999997</v>
      </c>
      <c r="L134" s="136">
        <f>F134/193362.2</f>
        <v>0.9478322029848648</v>
      </c>
      <c r="M134" s="22">
        <f>M106+M133</f>
        <v>50967.359999999986</v>
      </c>
      <c r="N134" s="22">
        <f>N106+N133</f>
        <v>47638.44999999998</v>
      </c>
      <c r="O134" s="36">
        <f t="shared" si="45"/>
        <v>-3328.9100000000035</v>
      </c>
      <c r="P134" s="36">
        <f>N134/M134*100</f>
        <v>93.46854535922597</v>
      </c>
      <c r="Q134" s="36">
        <f>N134-50285.6</f>
        <v>-2647.150000000016</v>
      </c>
      <c r="R134" s="136">
        <f>N134/50285.6</f>
        <v>0.9473576928583926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4"/>
      <c r="H137" s="194"/>
      <c r="I137" s="194"/>
      <c r="J137" s="194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41759</v>
      </c>
      <c r="D138" s="39">
        <v>4191.8</v>
      </c>
      <c r="N138" s="195"/>
      <c r="O138" s="195"/>
    </row>
    <row r="139" spans="3:15" ht="15.75">
      <c r="C139" s="120">
        <v>41758</v>
      </c>
      <c r="D139" s="39">
        <v>5440.9</v>
      </c>
      <c r="F139" s="4" t="s">
        <v>166</v>
      </c>
      <c r="G139" s="196" t="s">
        <v>151</v>
      </c>
      <c r="H139" s="196"/>
      <c r="I139" s="115">
        <v>13825.22</v>
      </c>
      <c r="J139" s="197" t="s">
        <v>161</v>
      </c>
      <c r="K139" s="197"/>
      <c r="L139" s="197"/>
      <c r="M139" s="197"/>
      <c r="N139" s="195"/>
      <c r="O139" s="195"/>
    </row>
    <row r="140" spans="3:15" ht="15.75">
      <c r="C140" s="120">
        <v>41757</v>
      </c>
      <c r="D140" s="39">
        <v>1923.2</v>
      </c>
      <c r="G140" s="200" t="s">
        <v>155</v>
      </c>
      <c r="H140" s="200"/>
      <c r="I140" s="112">
        <v>0</v>
      </c>
      <c r="J140" s="201" t="s">
        <v>162</v>
      </c>
      <c r="K140" s="201"/>
      <c r="L140" s="201"/>
      <c r="M140" s="201"/>
      <c r="N140" s="195"/>
      <c r="O140" s="195"/>
    </row>
    <row r="141" spans="7:13" ht="15.75" customHeight="1">
      <c r="G141" s="196" t="s">
        <v>148</v>
      </c>
      <c r="H141" s="196"/>
      <c r="I141" s="112">
        <v>0</v>
      </c>
      <c r="J141" s="197" t="s">
        <v>163</v>
      </c>
      <c r="K141" s="197"/>
      <c r="L141" s="197"/>
      <c r="M141" s="197"/>
    </row>
    <row r="142" spans="2:13" ht="18.75" customHeight="1">
      <c r="B142" s="202" t="s">
        <v>160</v>
      </c>
      <c r="C142" s="203"/>
      <c r="D142" s="117">
        <v>123251.48</v>
      </c>
      <c r="E142" s="80"/>
      <c r="F142" s="100" t="s">
        <v>147</v>
      </c>
      <c r="G142" s="196" t="s">
        <v>149</v>
      </c>
      <c r="H142" s="196"/>
      <c r="I142" s="116">
        <v>109426.25</v>
      </c>
      <c r="J142" s="197" t="s">
        <v>164</v>
      </c>
      <c r="K142" s="197"/>
      <c r="L142" s="197"/>
      <c r="M142" s="197"/>
    </row>
    <row r="143" spans="7:12" ht="9.75" customHeight="1">
      <c r="G143" s="204"/>
      <c r="H143" s="204"/>
      <c r="I143" s="98"/>
      <c r="J143" s="99"/>
      <c r="K143" s="99"/>
      <c r="L143" s="99"/>
    </row>
    <row r="144" spans="2:12" ht="22.5" customHeight="1">
      <c r="B144" s="205" t="s">
        <v>169</v>
      </c>
      <c r="C144" s="206"/>
      <c r="D144" s="119">
        <f>'[1]надх'!$B$52/1000</f>
        <v>23080.77602999999</v>
      </c>
      <c r="E144" s="77" t="s">
        <v>104</v>
      </c>
      <c r="G144" s="204"/>
      <c r="H144" s="204"/>
      <c r="I144" s="98"/>
      <c r="J144" s="99"/>
      <c r="K144" s="99"/>
      <c r="L144" s="99"/>
    </row>
    <row r="145" spans="4:15" ht="15.75">
      <c r="D145" s="114"/>
      <c r="N145" s="204"/>
      <c r="O145" s="204"/>
    </row>
    <row r="146" spans="4:15" ht="15.75">
      <c r="D146" s="113"/>
      <c r="I146" s="39"/>
      <c r="N146" s="207"/>
      <c r="O146" s="207"/>
    </row>
    <row r="147" spans="14:15" ht="15.75">
      <c r="N147" s="204"/>
      <c r="O147" s="204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9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69" t="s">
        <v>212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26"/>
      <c r="R1" s="127"/>
    </row>
    <row r="2" spans="2:18" s="1" customFormat="1" ht="15.75" customHeight="1">
      <c r="B2" s="170"/>
      <c r="C2" s="170"/>
      <c r="D2" s="17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1"/>
      <c r="B3" s="173"/>
      <c r="C3" s="174" t="s">
        <v>0</v>
      </c>
      <c r="D3" s="175" t="s">
        <v>208</v>
      </c>
      <c r="E3" s="175"/>
      <c r="F3" s="176" t="s">
        <v>107</v>
      </c>
      <c r="G3" s="177"/>
      <c r="H3" s="177"/>
      <c r="I3" s="177"/>
      <c r="J3" s="177"/>
      <c r="K3" s="177"/>
      <c r="L3" s="178"/>
      <c r="M3" s="179" t="s">
        <v>210</v>
      </c>
      <c r="N3" s="168" t="s">
        <v>198</v>
      </c>
      <c r="O3" s="168"/>
      <c r="P3" s="168"/>
      <c r="Q3" s="168"/>
      <c r="R3" s="168"/>
    </row>
    <row r="4" spans="1:18" ht="22.5" customHeight="1">
      <c r="A4" s="171"/>
      <c r="B4" s="173"/>
      <c r="C4" s="174"/>
      <c r="D4" s="175"/>
      <c r="E4" s="175"/>
      <c r="F4" s="180" t="s">
        <v>116</v>
      </c>
      <c r="G4" s="182" t="s">
        <v>207</v>
      </c>
      <c r="H4" s="184" t="s">
        <v>195</v>
      </c>
      <c r="I4" s="186" t="s">
        <v>188</v>
      </c>
      <c r="J4" s="188" t="s">
        <v>189</v>
      </c>
      <c r="K4" s="190" t="s">
        <v>196</v>
      </c>
      <c r="L4" s="191"/>
      <c r="M4" s="167"/>
      <c r="N4" s="198" t="s">
        <v>213</v>
      </c>
      <c r="O4" s="186" t="s">
        <v>136</v>
      </c>
      <c r="P4" s="186" t="s">
        <v>135</v>
      </c>
      <c r="Q4" s="190" t="s">
        <v>197</v>
      </c>
      <c r="R4" s="191"/>
    </row>
    <row r="5" spans="1:18" ht="82.5" customHeight="1">
      <c r="A5" s="172"/>
      <c r="B5" s="173"/>
      <c r="C5" s="174"/>
      <c r="D5" s="150" t="s">
        <v>209</v>
      </c>
      <c r="E5" s="158" t="s">
        <v>214</v>
      </c>
      <c r="F5" s="181"/>
      <c r="G5" s="183"/>
      <c r="H5" s="185"/>
      <c r="I5" s="187"/>
      <c r="J5" s="189"/>
      <c r="K5" s="192"/>
      <c r="L5" s="193"/>
      <c r="M5" s="151" t="s">
        <v>211</v>
      </c>
      <c r="N5" s="199"/>
      <c r="O5" s="187"/>
      <c r="P5" s="187"/>
      <c r="Q5" s="192"/>
      <c r="R5" s="193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172.57</v>
      </c>
      <c r="G102" s="144"/>
      <c r="H102" s="146"/>
      <c r="I102" s="145"/>
      <c r="J102" s="145"/>
      <c r="K102" s="148">
        <f>F102-88.6</f>
        <v>83.97</v>
      </c>
      <c r="L102" s="149">
        <f>F102/88.6</f>
        <v>1.9477426636568849</v>
      </c>
      <c r="M102" s="40">
        <f>E102-лютий!E102</f>
        <v>0</v>
      </c>
      <c r="N102" s="40">
        <f>F102-лютий!F102</f>
        <v>42.47999999999999</v>
      </c>
      <c r="O102" s="53"/>
      <c r="P102" s="60"/>
      <c r="Q102" s="60">
        <f>N102-31.4</f>
        <v>11.079999999999991</v>
      </c>
      <c r="R102" s="135">
        <f>N102/31.4</f>
        <v>1.3528662420382163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4"/>
      <c r="H137" s="194"/>
      <c r="I137" s="194"/>
      <c r="J137" s="194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195"/>
      <c r="O138" s="195"/>
    </row>
    <row r="139" spans="3:15" ht="15.75">
      <c r="C139" s="120">
        <v>41726</v>
      </c>
      <c r="D139" s="39">
        <v>4682.6</v>
      </c>
      <c r="F139" s="4" t="s">
        <v>166</v>
      </c>
      <c r="G139" s="196" t="s">
        <v>151</v>
      </c>
      <c r="H139" s="196"/>
      <c r="I139" s="115">
        <v>13825.22196</v>
      </c>
      <c r="J139" s="197" t="s">
        <v>161</v>
      </c>
      <c r="K139" s="197"/>
      <c r="L139" s="197"/>
      <c r="M139" s="197"/>
      <c r="N139" s="195"/>
      <c r="O139" s="195"/>
    </row>
    <row r="140" spans="3:15" ht="15.75">
      <c r="C140" s="120">
        <v>41725</v>
      </c>
      <c r="D140" s="39">
        <v>3360.7</v>
      </c>
      <c r="G140" s="200" t="s">
        <v>155</v>
      </c>
      <c r="H140" s="200"/>
      <c r="I140" s="112">
        <v>0</v>
      </c>
      <c r="J140" s="201" t="s">
        <v>162</v>
      </c>
      <c r="K140" s="201"/>
      <c r="L140" s="201"/>
      <c r="M140" s="201"/>
      <c r="N140" s="195"/>
      <c r="O140" s="195"/>
    </row>
    <row r="141" spans="7:13" ht="15.75" customHeight="1">
      <c r="G141" s="196" t="s">
        <v>148</v>
      </c>
      <c r="H141" s="196"/>
      <c r="I141" s="112">
        <v>0</v>
      </c>
      <c r="J141" s="197" t="s">
        <v>163</v>
      </c>
      <c r="K141" s="197"/>
      <c r="L141" s="197"/>
      <c r="M141" s="197"/>
    </row>
    <row r="142" spans="2:13" ht="18.75" customHeight="1">
      <c r="B142" s="202" t="s">
        <v>160</v>
      </c>
      <c r="C142" s="203"/>
      <c r="D142" s="117">
        <v>114985.02570999999</v>
      </c>
      <c r="E142" s="80"/>
      <c r="F142" s="100" t="s">
        <v>147</v>
      </c>
      <c r="G142" s="196" t="s">
        <v>149</v>
      </c>
      <c r="H142" s="196"/>
      <c r="I142" s="116">
        <v>101159.80375</v>
      </c>
      <c r="J142" s="197" t="s">
        <v>164</v>
      </c>
      <c r="K142" s="197"/>
      <c r="L142" s="197"/>
      <c r="M142" s="197"/>
    </row>
    <row r="143" spans="7:12" ht="9.75" customHeight="1">
      <c r="G143" s="204"/>
      <c r="H143" s="204"/>
      <c r="I143" s="98"/>
      <c r="J143" s="99"/>
      <c r="K143" s="99"/>
      <c r="L143" s="99"/>
    </row>
    <row r="144" spans="2:12" ht="22.5" customHeight="1">
      <c r="B144" s="205" t="s">
        <v>169</v>
      </c>
      <c r="C144" s="206"/>
      <c r="D144" s="119">
        <v>3918.1</v>
      </c>
      <c r="E144" s="77" t="s">
        <v>104</v>
      </c>
      <c r="G144" s="204"/>
      <c r="H144" s="204"/>
      <c r="I144" s="98"/>
      <c r="J144" s="99"/>
      <c r="K144" s="99"/>
      <c r="L144" s="99"/>
    </row>
    <row r="145" spans="4:15" ht="15.75">
      <c r="D145" s="114"/>
      <c r="N145" s="204"/>
      <c r="O145" s="204"/>
    </row>
    <row r="146" spans="4:15" ht="15.75">
      <c r="D146" s="113"/>
      <c r="I146" s="39"/>
      <c r="N146" s="207"/>
      <c r="O146" s="207"/>
    </row>
    <row r="147" spans="14:15" ht="15.75">
      <c r="N147" s="204"/>
      <c r="O147" s="204"/>
    </row>
  </sheetData>
  <mergeCells count="38"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38:O138"/>
    <mergeCell ref="G139:H139"/>
    <mergeCell ref="J139:M139"/>
    <mergeCell ref="N139:O139"/>
    <mergeCell ref="N4:N5"/>
    <mergeCell ref="O4:O5"/>
    <mergeCell ref="P4:P5"/>
    <mergeCell ref="G137:J137"/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5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02" sqref="H10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169" t="s">
        <v>193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26"/>
      <c r="R1" s="127"/>
    </row>
    <row r="2" spans="2:18" s="1" customFormat="1" ht="15.75" customHeight="1">
      <c r="B2" s="170"/>
      <c r="C2" s="170"/>
      <c r="D2" s="17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1"/>
      <c r="B3" s="173"/>
      <c r="C3" s="174" t="s">
        <v>0</v>
      </c>
      <c r="D3" s="217" t="s">
        <v>187</v>
      </c>
      <c r="E3" s="46"/>
      <c r="F3" s="218" t="s">
        <v>107</v>
      </c>
      <c r="G3" s="219"/>
      <c r="H3" s="219"/>
      <c r="I3" s="219"/>
      <c r="J3" s="220"/>
      <c r="K3" s="123"/>
      <c r="L3" s="123"/>
      <c r="M3" s="221" t="s">
        <v>190</v>
      </c>
      <c r="N3" s="212" t="s">
        <v>185</v>
      </c>
      <c r="O3" s="212"/>
      <c r="P3" s="212"/>
      <c r="Q3" s="212"/>
      <c r="R3" s="212"/>
    </row>
    <row r="4" spans="1:18" ht="22.5" customHeight="1">
      <c r="A4" s="171"/>
      <c r="B4" s="173"/>
      <c r="C4" s="174"/>
      <c r="D4" s="217"/>
      <c r="E4" s="222" t="s">
        <v>191</v>
      </c>
      <c r="F4" s="213" t="s">
        <v>116</v>
      </c>
      <c r="G4" s="215" t="s">
        <v>167</v>
      </c>
      <c r="H4" s="184" t="s">
        <v>168</v>
      </c>
      <c r="I4" s="210" t="s">
        <v>188</v>
      </c>
      <c r="J4" s="208" t="s">
        <v>189</v>
      </c>
      <c r="K4" s="125" t="s">
        <v>174</v>
      </c>
      <c r="L4" s="130" t="s">
        <v>173</v>
      </c>
      <c r="M4" s="221"/>
      <c r="N4" s="198" t="s">
        <v>194</v>
      </c>
      <c r="O4" s="210" t="s">
        <v>136</v>
      </c>
      <c r="P4" s="212" t="s">
        <v>135</v>
      </c>
      <c r="Q4" s="131" t="s">
        <v>174</v>
      </c>
      <c r="R4" s="132" t="s">
        <v>173</v>
      </c>
    </row>
    <row r="5" spans="1:18" ht="82.5" customHeight="1">
      <c r="A5" s="172"/>
      <c r="B5" s="173"/>
      <c r="C5" s="174"/>
      <c r="D5" s="217"/>
      <c r="E5" s="223"/>
      <c r="F5" s="214"/>
      <c r="G5" s="216"/>
      <c r="H5" s="185"/>
      <c r="I5" s="211"/>
      <c r="J5" s="209"/>
      <c r="K5" s="192" t="s">
        <v>184</v>
      </c>
      <c r="L5" s="193"/>
      <c r="M5" s="221"/>
      <c r="N5" s="199"/>
      <c r="O5" s="211"/>
      <c r="P5" s="212"/>
      <c r="Q5" s="192" t="s">
        <v>199</v>
      </c>
      <c r="R5" s="193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130.09</v>
      </c>
      <c r="G102" s="144"/>
      <c r="H102" s="146"/>
      <c r="I102" s="145"/>
      <c r="J102" s="145"/>
      <c r="K102" s="148">
        <f>F102-54.4</f>
        <v>75.69</v>
      </c>
      <c r="L102" s="149">
        <f>F102/54.4</f>
        <v>2.3913602941176473</v>
      </c>
      <c r="M102" s="146">
        <f>E102-'січень '!E102</f>
        <v>0</v>
      </c>
      <c r="N102" s="146">
        <f>F102-'січень '!F102</f>
        <v>65.16</v>
      </c>
      <c r="O102" s="53"/>
      <c r="P102" s="60"/>
      <c r="Q102" s="60">
        <f>N102-26.6</f>
        <v>38.559999999999995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4"/>
      <c r="H137" s="194"/>
      <c r="I137" s="194"/>
      <c r="J137" s="194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95"/>
      <c r="O138" s="195"/>
    </row>
    <row r="139" spans="3:15" ht="15.75">
      <c r="C139" s="120">
        <v>41697</v>
      </c>
      <c r="D139" s="39">
        <v>2276.8</v>
      </c>
      <c r="F139" s="4" t="s">
        <v>166</v>
      </c>
      <c r="G139" s="196" t="s">
        <v>151</v>
      </c>
      <c r="H139" s="196"/>
      <c r="I139" s="115">
        <v>13825.22</v>
      </c>
      <c r="J139" s="197" t="s">
        <v>161</v>
      </c>
      <c r="K139" s="197"/>
      <c r="L139" s="197"/>
      <c r="M139" s="197"/>
      <c r="N139" s="195"/>
      <c r="O139" s="195"/>
    </row>
    <row r="140" spans="3:15" ht="15.75">
      <c r="C140" s="120">
        <v>41696</v>
      </c>
      <c r="D140" s="39">
        <v>3746.1</v>
      </c>
      <c r="G140" s="200" t="s">
        <v>155</v>
      </c>
      <c r="H140" s="200"/>
      <c r="I140" s="112">
        <v>0</v>
      </c>
      <c r="J140" s="201" t="s">
        <v>162</v>
      </c>
      <c r="K140" s="201"/>
      <c r="L140" s="201"/>
      <c r="M140" s="201"/>
      <c r="N140" s="195"/>
      <c r="O140" s="195"/>
    </row>
    <row r="141" spans="7:13" ht="15.75" customHeight="1">
      <c r="G141" s="196" t="s">
        <v>148</v>
      </c>
      <c r="H141" s="196"/>
      <c r="I141" s="112">
        <f>'[1]залишки  (2)'!$G$8/1000</f>
        <v>0</v>
      </c>
      <c r="J141" s="197" t="s">
        <v>163</v>
      </c>
      <c r="K141" s="197"/>
      <c r="L141" s="197"/>
      <c r="M141" s="197"/>
    </row>
    <row r="142" spans="2:13" ht="18.75" customHeight="1">
      <c r="B142" s="202" t="s">
        <v>160</v>
      </c>
      <c r="C142" s="203"/>
      <c r="D142" s="117">
        <v>121970.53</v>
      </c>
      <c r="E142" s="80"/>
      <c r="F142" s="100" t="s">
        <v>147</v>
      </c>
      <c r="G142" s="196" t="s">
        <v>149</v>
      </c>
      <c r="H142" s="196"/>
      <c r="I142" s="116">
        <v>108145.31</v>
      </c>
      <c r="J142" s="197" t="s">
        <v>164</v>
      </c>
      <c r="K142" s="197"/>
      <c r="L142" s="197"/>
      <c r="M142" s="197"/>
    </row>
    <row r="143" spans="7:12" ht="9.75" customHeight="1">
      <c r="G143" s="204"/>
      <c r="H143" s="204"/>
      <c r="I143" s="98"/>
      <c r="J143" s="99"/>
      <c r="K143" s="99"/>
      <c r="L143" s="99"/>
    </row>
    <row r="144" spans="2:12" ht="22.5" customHeight="1">
      <c r="B144" s="205" t="s">
        <v>169</v>
      </c>
      <c r="C144" s="206"/>
      <c r="D144" s="119">
        <v>0</v>
      </c>
      <c r="E144" s="77" t="s">
        <v>104</v>
      </c>
      <c r="G144" s="204"/>
      <c r="H144" s="204"/>
      <c r="I144" s="98"/>
      <c r="J144" s="99"/>
      <c r="K144" s="99"/>
      <c r="L144" s="99"/>
    </row>
    <row r="145" spans="4:15" ht="15.75">
      <c r="D145" s="114"/>
      <c r="N145" s="204"/>
      <c r="O145" s="204"/>
    </row>
    <row r="146" spans="4:15" ht="15.75">
      <c r="D146" s="113"/>
      <c r="I146" s="39"/>
      <c r="N146" s="207"/>
      <c r="O146" s="207"/>
    </row>
    <row r="147" spans="14:15" ht="15.75">
      <c r="N147" s="204"/>
      <c r="O147" s="204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4" sqref="F10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169" t="s">
        <v>183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26"/>
      <c r="R1" s="127"/>
    </row>
    <row r="2" spans="2:18" s="1" customFormat="1" ht="15.75" customHeight="1">
      <c r="B2" s="170"/>
      <c r="C2" s="170"/>
      <c r="D2" s="17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1"/>
      <c r="B3" s="173"/>
      <c r="C3" s="174" t="s">
        <v>0</v>
      </c>
      <c r="D3" s="217" t="s">
        <v>192</v>
      </c>
      <c r="E3" s="46"/>
      <c r="F3" s="218" t="s">
        <v>107</v>
      </c>
      <c r="G3" s="219"/>
      <c r="H3" s="219"/>
      <c r="I3" s="219"/>
      <c r="J3" s="220"/>
      <c r="K3" s="123"/>
      <c r="L3" s="123"/>
      <c r="M3" s="188" t="s">
        <v>200</v>
      </c>
      <c r="N3" s="212" t="s">
        <v>178</v>
      </c>
      <c r="O3" s="212"/>
      <c r="P3" s="212"/>
      <c r="Q3" s="212"/>
      <c r="R3" s="212"/>
    </row>
    <row r="4" spans="1:18" ht="22.5" customHeight="1">
      <c r="A4" s="171"/>
      <c r="B4" s="173"/>
      <c r="C4" s="174"/>
      <c r="D4" s="217"/>
      <c r="E4" s="222" t="s">
        <v>153</v>
      </c>
      <c r="F4" s="213" t="s">
        <v>116</v>
      </c>
      <c r="G4" s="215" t="s">
        <v>175</v>
      </c>
      <c r="H4" s="184" t="s">
        <v>176</v>
      </c>
      <c r="I4" s="210" t="s">
        <v>188</v>
      </c>
      <c r="J4" s="208" t="s">
        <v>189</v>
      </c>
      <c r="K4" s="125" t="s">
        <v>174</v>
      </c>
      <c r="L4" s="130" t="s">
        <v>173</v>
      </c>
      <c r="M4" s="224"/>
      <c r="N4" s="198" t="s">
        <v>186</v>
      </c>
      <c r="O4" s="210" t="s">
        <v>136</v>
      </c>
      <c r="P4" s="212" t="s">
        <v>135</v>
      </c>
      <c r="Q4" s="131" t="s">
        <v>174</v>
      </c>
      <c r="R4" s="132" t="s">
        <v>173</v>
      </c>
    </row>
    <row r="5" spans="1:18" ht="82.5" customHeight="1">
      <c r="A5" s="172"/>
      <c r="B5" s="173"/>
      <c r="C5" s="174"/>
      <c r="D5" s="217"/>
      <c r="E5" s="223"/>
      <c r="F5" s="214"/>
      <c r="G5" s="216"/>
      <c r="H5" s="185"/>
      <c r="I5" s="211"/>
      <c r="J5" s="209"/>
      <c r="K5" s="192" t="s">
        <v>177</v>
      </c>
      <c r="L5" s="193"/>
      <c r="M5" s="189"/>
      <c r="N5" s="199"/>
      <c r="O5" s="211"/>
      <c r="P5" s="212"/>
      <c r="Q5" s="192" t="s">
        <v>179</v>
      </c>
      <c r="R5" s="193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64.93</v>
      </c>
      <c r="G102" s="144"/>
      <c r="H102" s="146"/>
      <c r="I102" s="145"/>
      <c r="J102" s="145"/>
      <c r="K102" s="145">
        <f>F102-30.6</f>
        <v>34.330000000000005</v>
      </c>
      <c r="L102" s="148">
        <f>F102/30.6*100</f>
        <v>212.18954248366012</v>
      </c>
      <c r="M102" s="40">
        <f t="shared" si="39"/>
        <v>0</v>
      </c>
      <c r="N102" s="40">
        <f t="shared" si="40"/>
        <v>64.93</v>
      </c>
      <c r="O102" s="53"/>
      <c r="P102" s="56"/>
      <c r="Q102" s="56">
        <f>N102-30.6</f>
        <v>34.330000000000005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4"/>
      <c r="H137" s="194"/>
      <c r="I137" s="194"/>
      <c r="J137" s="194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95"/>
      <c r="O138" s="195"/>
    </row>
    <row r="139" spans="3:15" ht="15.75">
      <c r="C139" s="120">
        <v>41669</v>
      </c>
      <c r="D139" s="39">
        <v>4752.2</v>
      </c>
      <c r="F139" s="4" t="s">
        <v>166</v>
      </c>
      <c r="G139" s="196" t="s">
        <v>151</v>
      </c>
      <c r="H139" s="196"/>
      <c r="I139" s="115">
        <v>13825.22</v>
      </c>
      <c r="J139" s="197" t="s">
        <v>161</v>
      </c>
      <c r="K139" s="197"/>
      <c r="L139" s="197"/>
      <c r="M139" s="197"/>
      <c r="N139" s="195"/>
      <c r="O139" s="195"/>
    </row>
    <row r="140" spans="3:15" ht="15.75">
      <c r="C140" s="120">
        <v>41668</v>
      </c>
      <c r="D140" s="39">
        <v>1984.7</v>
      </c>
      <c r="G140" s="200" t="s">
        <v>155</v>
      </c>
      <c r="H140" s="200"/>
      <c r="I140" s="112">
        <v>0</v>
      </c>
      <c r="J140" s="201" t="s">
        <v>162</v>
      </c>
      <c r="K140" s="201"/>
      <c r="L140" s="201"/>
      <c r="M140" s="201"/>
      <c r="N140" s="195"/>
      <c r="O140" s="195"/>
    </row>
    <row r="141" spans="7:13" ht="15.75" customHeight="1">
      <c r="G141" s="196" t="s">
        <v>148</v>
      </c>
      <c r="H141" s="196"/>
      <c r="I141" s="112">
        <v>0</v>
      </c>
      <c r="J141" s="197" t="s">
        <v>163</v>
      </c>
      <c r="K141" s="197"/>
      <c r="L141" s="197"/>
      <c r="M141" s="197"/>
    </row>
    <row r="142" spans="2:13" ht="18.75" customHeight="1">
      <c r="B142" s="202" t="s">
        <v>160</v>
      </c>
      <c r="C142" s="203"/>
      <c r="D142" s="117">
        <v>111410.62</v>
      </c>
      <c r="E142" s="80"/>
      <c r="F142" s="100" t="s">
        <v>147</v>
      </c>
      <c r="G142" s="196" t="s">
        <v>149</v>
      </c>
      <c r="H142" s="196"/>
      <c r="I142" s="116">
        <v>97585.4</v>
      </c>
      <c r="J142" s="197" t="s">
        <v>164</v>
      </c>
      <c r="K142" s="197"/>
      <c r="L142" s="197"/>
      <c r="M142" s="197"/>
    </row>
    <row r="143" spans="7:12" ht="9.75" customHeight="1">
      <c r="G143" s="204"/>
      <c r="H143" s="204"/>
      <c r="I143" s="98"/>
      <c r="J143" s="99"/>
      <c r="K143" s="99"/>
      <c r="L143" s="99"/>
    </row>
    <row r="144" spans="2:12" ht="22.5" customHeight="1">
      <c r="B144" s="205" t="s">
        <v>169</v>
      </c>
      <c r="C144" s="206"/>
      <c r="D144" s="119">
        <v>0</v>
      </c>
      <c r="E144" s="77" t="s">
        <v>104</v>
      </c>
      <c r="G144" s="204"/>
      <c r="H144" s="204"/>
      <c r="I144" s="98"/>
      <c r="J144" s="99"/>
      <c r="K144" s="99"/>
      <c r="L144" s="99"/>
    </row>
    <row r="145" spans="4:15" ht="15.75">
      <c r="D145" s="114"/>
      <c r="N145" s="204"/>
      <c r="O145" s="204"/>
    </row>
    <row r="146" spans="4:15" ht="15.75">
      <c r="D146" s="113"/>
      <c r="I146" s="39"/>
      <c r="N146" s="207"/>
      <c r="O146" s="207"/>
    </row>
    <row r="147" spans="14:15" ht="15.75">
      <c r="N147" s="204"/>
      <c r="O147" s="204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2014-07-30T11:35:51Z</cp:lastPrinted>
  <dcterms:created xsi:type="dcterms:W3CDTF">2003-07-28T11:27:56Z</dcterms:created>
  <dcterms:modified xsi:type="dcterms:W3CDTF">2014-07-30T11:49:50Z</dcterms:modified>
  <cp:category/>
  <cp:version/>
  <cp:contentType/>
  <cp:contentStatus/>
</cp:coreProperties>
</file>